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9320" windowHeight="12120" activeTab="0"/>
  </bookViews>
  <sheets>
    <sheet name="Notes" sheetId="1" r:id="rId1"/>
    <sheet name="Table 1 Summary" sheetId="2" r:id="rId2"/>
    <sheet name="Table 2 Altern Quotes" sheetId="3" r:id="rId3"/>
    <sheet name="Table 3 J&amp;K Builds" sheetId="4" r:id="rId4"/>
    <sheet name="Table 4 Proposed Plants" sheetId="5" r:id="rId5"/>
    <sheet name="Table 5 LCOE inputs" sheetId="6" r:id="rId6"/>
    <sheet name="Table 6A LCOE Nuclear cash flow" sheetId="7" r:id="rId7"/>
    <sheet name="Table 6B LCOE Nuclear after-tax" sheetId="8" r:id="rId8"/>
    <sheet name="Table 6C LCOE Nuclear Valuation" sheetId="9" r:id="rId9"/>
    <sheet name="Table 6D LCOE Nuclear Revenue" sheetId="10" r:id="rId10"/>
    <sheet name="Table 7 Prospective Coal" sheetId="11" r:id="rId11"/>
    <sheet name="Table 8A LCOE Coal cash flow" sheetId="12" r:id="rId12"/>
    <sheet name="Table 8B LCOE Coal after-tax" sheetId="13" r:id="rId13"/>
    <sheet name="Table 8C LCOE Coal Valuation" sheetId="14" r:id="rId14"/>
    <sheet name="Table 8D LCOE Coal Revenue" sheetId="15" r:id="rId15"/>
    <sheet name="Table 9 Prospective Gas" sheetId="16" r:id="rId16"/>
    <sheet name="Table 10A LCOE Gas cash flow" sheetId="17" r:id="rId17"/>
    <sheet name="Table 10B LCOE Gas after-tax" sheetId="18" r:id="rId18"/>
    <sheet name="Table 10C LCOE Gas Valuation" sheetId="19" r:id="rId19"/>
    <sheet name="Table 10D LCOE Gas Revenue" sheetId="20" r:id="rId20"/>
    <sheet name="Escalation Factors" sheetId="21" r:id="rId21"/>
    <sheet name="Ancillary Calculations" sheetId="22" r:id="rId22"/>
  </sheets>
  <externalReferences>
    <externalReference r:id="rId25"/>
  </externalReferences>
  <definedNames>
    <definedName name="BUfu">#REF!</definedName>
    <definedName name="BUmox">#REF!</definedName>
    <definedName name="BUsu">#REF!</definedName>
    <definedName name="Cc" localSheetId="21">'Ancillary Calculations'!$F$62</definedName>
    <definedName name="Cc">'[1]MIT 2003'!$B$12</definedName>
    <definedName name="Ccoal">'Table 5 LCOE inputs'!$I$8</definedName>
    <definedName name="Cdu">'[1]MIT 2003'!#REF!</definedName>
    <definedName name="Cf_br">#REF!</definedName>
    <definedName name="Cf_bur">#REF!</definedName>
    <definedName name="Cf_mox">#REF!</definedName>
    <definedName name="Cf_ss">#REF!</definedName>
    <definedName name="Cf_uox" localSheetId="21">'Ancillary Calculations'!$F$64</definedName>
    <definedName name="Cf_uox">'[1]MIT 2003'!$B$14</definedName>
    <definedName name="CFcoal">'Table 5 LCOE inputs'!$I$9</definedName>
    <definedName name="CFgas">'Table 5 LCOE inputs'!$K$9</definedName>
    <definedName name="CFnuc">'Table 5 LCOE inputs'!$G$9</definedName>
    <definedName name="Cgas">'Table 5 LCOE inputs'!$K$8</definedName>
    <definedName name="chiller">'Ancillary Calculations'!$F$218</definedName>
    <definedName name="Cnuc">'Table 5 LCOE inputs'!$G$8</definedName>
    <definedName name="CO2coal">'Table 5 LCOE inputs'!$I$18</definedName>
    <definedName name="CO2gas">'Table 5 LCOE inputs'!$K$18</definedName>
    <definedName name="coalwcarbon">'Ancillary Calculations'!$F$138</definedName>
    <definedName name="colocation">'Ancillary Calculations'!$F$223</definedName>
    <definedName name="costCO2coal">'Ancillary Calculations'!$D$128</definedName>
    <definedName name="costCO2gas">'Ancillary Calculations'!$H$128</definedName>
    <definedName name="costDcm">'Table 5 LCOE inputs'!$G$17</definedName>
    <definedName name="costFcoal">'Table 5 LCOE inputs'!$I$15</definedName>
    <definedName name="costFgas">'Table 5 LCOE inputs'!$K$15</definedName>
    <definedName name="costFnuc">'Table 5 LCOE inputs'!$G$15</definedName>
    <definedName name="costKcoalI">'Table 5 LCOE inputs'!$I$12</definedName>
    <definedName name="costKcoalO">'Table 5 LCOE inputs'!$I$11</definedName>
    <definedName name="costKgasI">'Table 5 LCOE inputs'!$K$12</definedName>
    <definedName name="costKgasO">'Table 5 LCOE inputs'!$K$11</definedName>
    <definedName name="costKnucI">'Table 5 LCOE inputs'!$G$12</definedName>
    <definedName name="costKnucO">'Table 5 LCOE inputs'!$G$11</definedName>
    <definedName name="costNFC">'Ancillary Calculations'!$F$86</definedName>
    <definedName name="costOMfixcoal">'Table 5 LCOE inputs'!$I$13</definedName>
    <definedName name="costOMfixcoalEIA">'Ancillary Calculations'!$F$41</definedName>
    <definedName name="costOMfixgas">'Table 5 LCOE inputs'!$K$13</definedName>
    <definedName name="costOMfixgasEIA">'Ancillary Calculations'!$F$42</definedName>
    <definedName name="costOMfixnuc">'Table 5 LCOE inputs'!$G$13</definedName>
    <definedName name="costOMfixnucEIA">'Ancillary Calculations'!$F$40</definedName>
    <definedName name="costOMfixnukeEIA">'Ancillary Calculations'!$F$40</definedName>
    <definedName name="costOMvarcoal">'Table 5 LCOE inputs'!$I$14</definedName>
    <definedName name="costOMvarcoalEIA">'Ancillary Calculations'!$F$48</definedName>
    <definedName name="costOMvargas">'Table 5 LCOE inputs'!$K$14</definedName>
    <definedName name="costOMvargasEIA">'Ancillary Calculations'!$F$49</definedName>
    <definedName name="costOMvarnuc">'Table 5 LCOE inputs'!$G$14</definedName>
    <definedName name="costOMvarnucEIA">'Ancillary Calculations'!$F$47</definedName>
    <definedName name="costWnuc">'Table 5 LCOE inputs'!$G$16</definedName>
    <definedName name="CR">#REF!</definedName>
    <definedName name="Cs" localSheetId="21">'Ancillary Calculations'!$F$63</definedName>
    <definedName name="Cs">'[1]MIT 2003'!$B$13</definedName>
    <definedName name="Cu" localSheetId="21">'Ancillary Calculations'!$F$61</definedName>
    <definedName name="Cu">'[1]MIT 2003'!$B$11</definedName>
    <definedName name="drycool">'Ancillary Calculations'!$F$217</definedName>
    <definedName name="ductburn">'Ancillary Calculations'!$F$219</definedName>
    <definedName name="escalcoal">'Ancillary Calculations'!$L$16</definedName>
    <definedName name="escalgas">'Ancillary Calculations'!$L$21</definedName>
    <definedName name="escalnuc">'Ancillary Calculations'!$L$11</definedName>
    <definedName name="fc" localSheetId="21">'Ancillary Calculations'!$F$68</definedName>
    <definedName name="fc">'[1]MIT 2003'!$E$8</definedName>
    <definedName name="ff" localSheetId="21">'Ancillary Calculations'!$F$70</definedName>
    <definedName name="ff">'[1]MIT 2003'!$E$10</definedName>
    <definedName name="fr">#REF!</definedName>
    <definedName name="FRprem">#REF!</definedName>
    <definedName name="fs" localSheetId="21">'Ancillary Calculations'!$F$69</definedName>
    <definedName name="fs">'[1]MIT 2003'!$E$9</definedName>
    <definedName name="gaswcarbon">'Ancillary Calculations'!$I$138</definedName>
    <definedName name="Hcoal">'Table 5 LCOE inputs'!$I$10</definedName>
    <definedName name="Hgas">'Table 5 LCOE inputs'!$K$10</definedName>
    <definedName name="Hnuc">'Table 5 LCOE inputs'!$G$10</definedName>
    <definedName name="i" localSheetId="21">'Ancillary Calculations'!$F$65</definedName>
    <definedName name="i">'[1]MIT 2003'!$B$15</definedName>
    <definedName name="i_d">#REF!</definedName>
    <definedName name="id">#REF!</definedName>
    <definedName name="infcoal">'Table 5 LCOE inputs'!$I$20</definedName>
    <definedName name="infgas">'Table 5 LCOE inputs'!$K$20</definedName>
    <definedName name="infnuc">'Table 5 LCOE inputs'!$G$20</definedName>
    <definedName name="irFcoal">'Table 5 LCOE inputs'!$I$22</definedName>
    <definedName name="irFgas">'Table 5 LCOE inputs'!$K$22</definedName>
    <definedName name="irFnuc">'Table 5 LCOE inputs'!$G$22</definedName>
    <definedName name="irOMcoal">'Table 5 LCOE inputs'!$I$21</definedName>
    <definedName name="irOMgas">'Table 5 LCOE inputs'!$K$21</definedName>
    <definedName name="irOMnuc">'Table 5 LCOE inputs'!$G$21</definedName>
    <definedName name="noOxc">'Ancillary Calculations'!$F$221</definedName>
    <definedName name="pacool">'Ancillary Calculations'!$F$220</definedName>
    <definedName name="_xlnm.Print_Area" localSheetId="21">'Ancillary Calculations'!$B$4:$AH$102</definedName>
    <definedName name="_xlnm.Print_Area" localSheetId="20">'Escalation Factors'!$A$2:$O$54</definedName>
    <definedName name="_xlnm.Print_Area" localSheetId="1">'Table 1 Summary'!$A$1:$O$29</definedName>
    <definedName name="_xlnm.Print_Area" localSheetId="16">'Table 10A LCOE Gas cash flow'!$A$3:$K$62</definedName>
    <definedName name="_xlnm.Print_Area" localSheetId="17">'Table 10B LCOE Gas after-tax'!$A$3:$K$62</definedName>
    <definedName name="_xlnm.Print_Area" localSheetId="18">'Table 10C LCOE Gas Valuation'!$A$3:$M$73</definedName>
    <definedName name="_xlnm.Print_Area" localSheetId="19">'Table 10D LCOE Gas Revenue'!$A$3:$N$69</definedName>
    <definedName name="_xlnm.Print_Area" localSheetId="2">'Table 2 Altern Quotes'!$A$1:$K$44</definedName>
    <definedName name="_xlnm.Print_Area" localSheetId="3">'Table 3 J&amp;K Builds'!$A$2:$Q$51</definedName>
    <definedName name="_xlnm.Print_Area" localSheetId="4">'Table 4 Proposed Plants'!$A$3:$J$45</definedName>
    <definedName name="_xlnm.Print_Area" localSheetId="5">'Table 5 LCOE inputs'!$A$3:$N$108</definedName>
    <definedName name="_xlnm.Print_Area" localSheetId="6">'Table 6A LCOE Nuclear cash flow'!$A$3:$L$63</definedName>
    <definedName name="_xlnm.Print_Area" localSheetId="7">'Table 6B LCOE Nuclear after-tax'!$A$3:$K$62</definedName>
    <definedName name="_xlnm.Print_Area" localSheetId="8">'Table 6C LCOE Nuclear Valuation'!$A$3:$M$73</definedName>
    <definedName name="_xlnm.Print_Area" localSheetId="9">'Table 6D LCOE Nuclear Revenue'!$A$3:$N$69</definedName>
    <definedName name="_xlnm.Print_Area" localSheetId="10">'Table 7 Prospective Coal'!$A$3:$L$35</definedName>
    <definedName name="_xlnm.Print_Area" localSheetId="11">'Table 8A LCOE Coal cash flow'!$A$3:$L$62</definedName>
    <definedName name="_xlnm.Print_Area" localSheetId="12">'Table 8B LCOE Coal after-tax'!$A$3:$K$62</definedName>
    <definedName name="_xlnm.Print_Area" localSheetId="13">'Table 8C LCOE Coal Valuation'!$A$3:$M$73</definedName>
    <definedName name="_xlnm.Print_Area" localSheetId="14">'Table 8D LCOE Coal Revenue'!$A$3:$N$69</definedName>
    <definedName name="_xlnm.Print_Area" localSheetId="15">'Table 9 Prospective Gas'!$A$3:$Q$53</definedName>
    <definedName name="_xlnm.Print_Titles" localSheetId="6">'Table 6A LCOE Nuclear cash flow'!$3:$3</definedName>
    <definedName name="_xlnm.Print_Titles" localSheetId="7">'Table 6B LCOE Nuclear after-tax'!$3:$3</definedName>
    <definedName name="_xlnm.Print_Titles" localSheetId="8">'Table 6C LCOE Nuclear Valuation'!$3:$3</definedName>
    <definedName name="_xlnm.Print_Titles" localSheetId="9">'Table 6D LCOE Nuclear Revenue'!$3:$3</definedName>
    <definedName name="_xlnm.Print_Titles" localSheetId="11">'Table 8A LCOE Coal cash flow'!$3:$3</definedName>
    <definedName name="_xlnm.Print_Titles" localSheetId="12">'Table 8B LCOE Coal after-tax'!$3:$3</definedName>
    <definedName name="_xlnm.Print_Titles" localSheetId="13">'Table 8C LCOE Coal Valuation'!$3:$3</definedName>
    <definedName name="_xlnm.Print_Titles" localSheetId="14">'Table 8D LCOE Coal Revenue'!$3:$3</definedName>
    <definedName name="rDcoal">'Table 5 LCOE inputs'!$I$26</definedName>
    <definedName name="rDgas">'Table 5 LCOE inputs'!$K$26</definedName>
    <definedName name="rDnuc">'Table 5 LCOE inputs'!$G$26</definedName>
    <definedName name="rEcoal">'Table 5 LCOE inputs'!$I$27</definedName>
    <definedName name="rEgas">'Table 5 LCOE inputs'!$K$27</definedName>
    <definedName name="rEnuc">'Table 5 LCOE inputs'!$G$27</definedName>
    <definedName name="Sc1">#REF!</definedName>
    <definedName name="Sc11">#REF!</definedName>
    <definedName name="Sc12">#REF!</definedName>
    <definedName name="Sc2">#REF!</definedName>
    <definedName name="Sc21">#REF!</definedName>
    <definedName name="Sc22">#REF!</definedName>
    <definedName name="Sc3">#REF!</definedName>
    <definedName name="Sc31">#REF!</definedName>
    <definedName name="Sc32">#REF!</definedName>
    <definedName name="Sc33">#REF!</definedName>
    <definedName name="ScMOX">#REF!</definedName>
    <definedName name="ScTRU">#REF!</definedName>
    <definedName name="ScTRU1">#REF!</definedName>
    <definedName name="ScUOX">#REF!</definedName>
    <definedName name="Taxcoal">'Table 5 LCOE inputs'!$I$24</definedName>
    <definedName name="Taxgas">'Table 5 LCOE inputs'!$K$24</definedName>
    <definedName name="Taxnuc">'Table 5 LCOE inputs'!$G$24</definedName>
    <definedName name="todetele">#REF!</definedName>
    <definedName name="urban">'Ancillary Calculations'!$F$222</definedName>
    <definedName name="WACCcoal">'Table 5 LCOE inputs'!$I$28</definedName>
    <definedName name="WACCgas">'Table 5 LCOE inputs'!$K$28</definedName>
    <definedName name="WACCnuc">'Table 5 LCOE inputs'!$G$28</definedName>
    <definedName name="xDcoal">'Table 5 LCOE inputs'!$I$25</definedName>
    <definedName name="xDgas">'Table 5 LCOE inputs'!$K$25</definedName>
    <definedName name="xDnuc">'Table 5 LCOE inputs'!$G$25</definedName>
  </definedNames>
  <calcPr fullCalcOnLoad="1"/>
</workbook>
</file>

<file path=xl/sharedStrings.xml><?xml version="1.0" encoding="utf-8"?>
<sst xmlns="http://schemas.openxmlformats.org/spreadsheetml/2006/main" count="1920" uniqueCount="642">
  <si>
    <t>Columns [A]-[E]</t>
  </si>
  <si>
    <t>Data is taken from the MIT Future of Nuclear Power study, Appendix 5.B Nuclear Power Plant Construction Costs, except adjustment to 2007 dollars, columns [K] and [L] and overnight cost factor for Japan, column [I], rows [1]-[5].</t>
  </si>
  <si>
    <t>= waste disposal cost * output. This is not inflated, as the nominal value is fixed by statute.</t>
  </si>
  <si>
    <t>check</t>
  </si>
  <si>
    <t>made for the construction schedule of a coal plant.</t>
  </si>
  <si>
    <t xml:space="preserve"> the overnight cost in 2007 dollars given the 2.3% inflation rate used in the RW Beck study and calculated using a version of Table 2.</t>
  </si>
  <si>
    <t>Plant Life</t>
  </si>
  <si>
    <t>40 years</t>
  </si>
  <si>
    <t>Nuclear Fuel Costs</t>
  </si>
  <si>
    <t>Burn-up</t>
  </si>
  <si>
    <t xml:space="preserve"> (MWd/kgHM)</t>
  </si>
  <si>
    <t># Units</t>
  </si>
  <si>
    <t>Time</t>
  </si>
  <si>
    <t>(Thermal MWh/kgUOX)</t>
  </si>
  <si>
    <t>(Btu/MWh)</t>
  </si>
  <si>
    <t>(Btu/kWh electric)</t>
  </si>
  <si>
    <t>Energy Produced</t>
  </si>
  <si>
    <t>Unit Convertion factor</t>
  </si>
  <si>
    <t>Heat Rate</t>
  </si>
  <si>
    <t>= [F]+[G].</t>
  </si>
  <si>
    <t>[46]</t>
  </si>
  <si>
    <t>[47]</t>
  </si>
  <si>
    <t>Total NPV (t=2007)</t>
  </si>
  <si>
    <t>= [D]+[E]+[F]+[G].</t>
  </si>
  <si>
    <t>[0]</t>
  </si>
  <si>
    <t>Price</t>
  </si>
  <si>
    <t>Net Cost</t>
  </si>
  <si>
    <t>After-Tax Cash Flow</t>
  </si>
  <si>
    <t>= [C]+[D]+[E]+[F].</t>
  </si>
  <si>
    <t>Total Project Cost</t>
  </si>
  <si>
    <t>Owner</t>
  </si>
  <si>
    <t>Name of Plant</t>
  </si>
  <si>
    <t>Design</t>
  </si>
  <si>
    <t>Capacity</t>
  </si>
  <si>
    <t>Domestic Currency</t>
  </si>
  <si>
    <t>US Equivalent</t>
  </si>
  <si>
    <t>US 2007</t>
  </si>
  <si>
    <t>MW</t>
  </si>
  <si>
    <t>$/kW</t>
  </si>
  <si>
    <t>millions</t>
  </si>
  <si>
    <t>Tohoku Electric</t>
  </si>
  <si>
    <t>Onagawa 3</t>
  </si>
  <si>
    <t>BWR</t>
  </si>
  <si>
    <t>Kyusyu Electric</t>
  </si>
  <si>
    <t>Genkai 3</t>
  </si>
  <si>
    <t>PWR</t>
  </si>
  <si>
    <t>Genkai 4</t>
  </si>
  <si>
    <t>TEPCO</t>
  </si>
  <si>
    <t>Kashiwazaki-Kariwa 6</t>
  </si>
  <si>
    <t>ABWR</t>
  </si>
  <si>
    <t>Kashiwazaki-Kariwa 7</t>
  </si>
  <si>
    <t>KHNP</t>
  </si>
  <si>
    <t>Yonggwang 5&amp;6</t>
  </si>
  <si>
    <t>Chubu Electric</t>
  </si>
  <si>
    <t>Hamaoka-5</t>
  </si>
  <si>
    <t>Higashidori-1</t>
  </si>
  <si>
    <t>Hokuriku Electric</t>
  </si>
  <si>
    <t>Shika-2</t>
  </si>
  <si>
    <t>Ulchin-5</t>
  </si>
  <si>
    <t>OPR</t>
  </si>
  <si>
    <t>Ulchin-6</t>
  </si>
  <si>
    <t>PPP</t>
  </si>
  <si>
    <t>Factor</t>
  </si>
  <si>
    <t>Operation Date</t>
  </si>
  <si>
    <t>Commercial</t>
  </si>
  <si>
    <t>TVA study</t>
  </si>
  <si>
    <t>Bellefonte</t>
  </si>
  <si>
    <t>FPL</t>
  </si>
  <si>
    <t>Turkey Point 5 &amp; 6</t>
  </si>
  <si>
    <t>ESBWR</t>
  </si>
  <si>
    <t>NRG</t>
  </si>
  <si>
    <t>South Texas 3 &amp; 4</t>
  </si>
  <si>
    <t>Period</t>
  </si>
  <si>
    <t>Calendar Year</t>
  </si>
  <si>
    <t>Fuel Costs</t>
  </si>
  <si>
    <t>Inflation Rate</t>
  </si>
  <si>
    <t>Capacity Factor</t>
  </si>
  <si>
    <t>Tax Rate</t>
  </si>
  <si>
    <t>Discount Factor</t>
  </si>
  <si>
    <t>2014-2015</t>
  </si>
  <si>
    <t>Progress Energy</t>
  </si>
  <si>
    <t>Levy County 1 &amp; 2</t>
  </si>
  <si>
    <t>AP1000</t>
  </si>
  <si>
    <t>Southern</t>
  </si>
  <si>
    <t>Plant Vogtle 2 units</t>
  </si>
  <si>
    <t>SCEG/Santee-Cooper</t>
  </si>
  <si>
    <t>V.C. Summer 2 &amp; 3</t>
  </si>
  <si>
    <t>Year</t>
  </si>
  <si>
    <t>Total</t>
  </si>
  <si>
    <t>Vendor EPC Overnight Cost, $2007</t>
  </si>
  <si>
    <t>Owner's Costs, Nominal Dollars as Expended</t>
  </si>
  <si>
    <t>Depreciation Schedule</t>
  </si>
  <si>
    <t>Year 1</t>
  </si>
  <si>
    <t>Year 2</t>
  </si>
  <si>
    <t>Year 3</t>
  </si>
  <si>
    <t>Year 4</t>
  </si>
  <si>
    <t>Year 5</t>
  </si>
  <si>
    <t>Year 6</t>
  </si>
  <si>
    <t>Year 7</t>
  </si>
  <si>
    <t>Year 8</t>
  </si>
  <si>
    <t>Year 9</t>
  </si>
  <si>
    <t>Year 10</t>
  </si>
  <si>
    <t>Year 11</t>
  </si>
  <si>
    <t>Year 12</t>
  </si>
  <si>
    <t>Year 13</t>
  </si>
  <si>
    <t>Year 14</t>
  </si>
  <si>
    <t>Year 15</t>
  </si>
  <si>
    <t>Year 16</t>
  </si>
  <si>
    <t>Construction Costs</t>
  </si>
  <si>
    <t>Depreciation</t>
  </si>
  <si>
    <t>Non-fuel O&amp;M costs</t>
  </si>
  <si>
    <t>Net Cash Flow</t>
  </si>
  <si>
    <t>Incremental Capital Costs +</t>
  </si>
  <si>
    <t>Decomm. Cost</t>
  </si>
  <si>
    <t>Depreciation Tax Shields</t>
  </si>
  <si>
    <t xml:space="preserve">Fuel Costs </t>
  </si>
  <si>
    <r>
      <t>+          Waste</t>
    </r>
    <r>
      <rPr>
        <sz val="10"/>
        <rFont val="Arial"/>
        <family val="0"/>
      </rPr>
      <t> </t>
    </r>
    <r>
      <rPr>
        <sz val="10"/>
        <rFont val="Arial"/>
        <family val="2"/>
      </rPr>
      <t>Fee</t>
    </r>
  </si>
  <si>
    <t>Construction Costs Net      of</t>
  </si>
  <si>
    <t>Item total as % of Project Total</t>
  </si>
  <si>
    <t>Net Cost Cash Flow</t>
  </si>
  <si>
    <t>Price ($/MW)</t>
  </si>
  <si>
    <t>After-Tax Revenue</t>
  </si>
  <si>
    <t>Present Value</t>
  </si>
  <si>
    <t>Project Period (relative to start)</t>
  </si>
  <si>
    <t>[14]</t>
  </si>
  <si>
    <t>=$3,333*[3].</t>
  </si>
  <si>
    <t>=[4]*(1.03)^([2]-2007)</t>
  </si>
  <si>
    <t>=20%*[5]</t>
  </si>
  <si>
    <t>=[5]+[6]+[7].</t>
  </si>
  <si>
    <t>=[5]+[6]</t>
  </si>
  <si>
    <t>=[12]*(1.03)^(2007-[2])</t>
  </si>
  <si>
    <t>Duke Energy</t>
  </si>
  <si>
    <t>Cliffside</t>
  </si>
  <si>
    <t>John W. Turk Jr.</t>
  </si>
  <si>
    <t>AMP Ohio</t>
  </si>
  <si>
    <t>Meigs Co.</t>
  </si>
  <si>
    <t>AEP Swepco</t>
  </si>
  <si>
    <t>Total Cost, incl. Capital Recovery Charge, Cumulative</t>
  </si>
  <si>
    <t>Florida Power &amp; Light</t>
  </si>
  <si>
    <t>Glades</t>
  </si>
  <si>
    <t>2013-2014</t>
  </si>
  <si>
    <t>Nuclear</t>
  </si>
  <si>
    <t>Coal</t>
  </si>
  <si>
    <t>Incremental Capital Costs</t>
  </si>
  <si>
    <t>Debt fraction</t>
  </si>
  <si>
    <t>Debt rate</t>
  </si>
  <si>
    <t>Equity rate</t>
  </si>
  <si>
    <t xml:space="preserve">Overnight Cost, $2007 </t>
  </si>
  <si>
    <t>Total Outlay, Nominal Dollars as Expended</t>
  </si>
  <si>
    <t>Inputs</t>
  </si>
  <si>
    <t>Inflation</t>
  </si>
  <si>
    <t>Owner's cost fraction</t>
  </si>
  <si>
    <t>Allowed capital recovery charge</t>
  </si>
  <si>
    <t>[A]</t>
  </si>
  <si>
    <t>[B]</t>
  </si>
  <si>
    <t>[C]</t>
  </si>
  <si>
    <t>[D]</t>
  </si>
  <si>
    <t>[E]</t>
  </si>
  <si>
    <t>[F]</t>
  </si>
  <si>
    <t>[G]</t>
  </si>
  <si>
    <t>[1]</t>
  </si>
  <si>
    <t>[2]</t>
  </si>
  <si>
    <t>[3]</t>
  </si>
  <si>
    <t>[4]</t>
  </si>
  <si>
    <t>[5]</t>
  </si>
  <si>
    <t>[6]</t>
  </si>
  <si>
    <t>[7]</t>
  </si>
  <si>
    <t>[8]</t>
  </si>
  <si>
    <t>[9]</t>
  </si>
  <si>
    <t>[10]</t>
  </si>
  <si>
    <t>[11]</t>
  </si>
  <si>
    <t>[12]</t>
  </si>
  <si>
    <t>Vendor EPC Cost, Nominal Dollars as Expended @ 3% Inflation</t>
  </si>
  <si>
    <t>Rate of expenditures is given.</t>
  </si>
  <si>
    <t>[13]</t>
  </si>
  <si>
    <t>Transmission expenditures are given.</t>
  </si>
  <si>
    <t>All figures in $/kW.</t>
  </si>
  <si>
    <t>Notes:</t>
  </si>
  <si>
    <t>Overnight Cost</t>
  </si>
  <si>
    <t>[A]-[F] are assembled from corporate press releases and annual reports as described in the text.</t>
  </si>
  <si>
    <t>Hamaoka 5 cost figure is taken from Chubu Electric Power website.</t>
  </si>
  <si>
    <t>PPP factors are from the OECD for the respective countries and the commercial operation dates. See www.oecd.org/std/ppp.</t>
  </si>
  <si>
    <t>N/A</t>
  </si>
  <si>
    <t>2018-2020</t>
  </si>
  <si>
    <t>Projected Commercial Operation Date</t>
  </si>
  <si>
    <t>2016-2017</t>
  </si>
  <si>
    <t>2016-2019</t>
  </si>
  <si>
    <t>Transmission System Upgrades, Nominal Dollars as Expended</t>
  </si>
  <si>
    <t>Capital Recovery Charge @ 11.5%</t>
  </si>
  <si>
    <t>O&amp;M real escalation</t>
  </si>
  <si>
    <t>Fuel real escalation</t>
  </si>
  <si>
    <t>Waste fee</t>
  </si>
  <si>
    <t>O&amp;M escalation factor</t>
  </si>
  <si>
    <t>Fuel escalation factor</t>
  </si>
  <si>
    <t>Construction Schedule</t>
  </si>
  <si>
    <t>Year -5</t>
  </si>
  <si>
    <t>Year -4</t>
  </si>
  <si>
    <t>Year -3</t>
  </si>
  <si>
    <t>Year -2</t>
  </si>
  <si>
    <t>Year -1</t>
  </si>
  <si>
    <t>Year 0</t>
  </si>
  <si>
    <t>$3,530/kW. The figure is an overnight cost denominated in 2007 dollars, so no additional adjustment is made.</t>
  </si>
  <si>
    <t>The figure is an overnight cost denominated in 2007 dollars, so no additional adjustment is made.</t>
  </si>
  <si>
    <t>Strategist Modeling." "Unit Overnight Total Cost" shown is $9,303,579. $4,206=$9,303,579/2,212.</t>
  </si>
  <si>
    <t>reflects inflation. We back this out assuming the same schedule and inflation assumptions as for SCE&amp;G, and therefore</t>
  </si>
  <si>
    <t>$3,480=$2,900 * (1.2).</t>
  </si>
  <si>
    <t>Total Cost, excl. Capital Recovery Charge, Nominal Dollars as Expended</t>
  </si>
  <si>
    <t>2001-2002</t>
  </si>
  <si>
    <t>US 2002</t>
  </si>
  <si>
    <t>US var. yrs.</t>
  </si>
  <si>
    <t>[H]</t>
  </si>
  <si>
    <t>[I]</t>
  </si>
  <si>
    <t>[K]</t>
  </si>
  <si>
    <t>[L]</t>
  </si>
  <si>
    <t>=[H]*[I].</t>
  </si>
  <si>
    <t>=[F]*1,000,000/[D]/[G].</t>
  </si>
  <si>
    <t>Notes for column [F]:</t>
  </si>
  <si>
    <t>USC PC</t>
  </si>
  <si>
    <t>SC PC</t>
  </si>
  <si>
    <t>Duke Power (2005a), (2005b) and (2008).</t>
  </si>
  <si>
    <t>Input</t>
  </si>
  <si>
    <t>[15]</t>
  </si>
  <si>
    <t>Progress Energy (2008).</t>
  </si>
  <si>
    <t>NRG (2008) and NRG fact sheet for South Texas Project Unit 3 &amp; 4 Expansion.</t>
  </si>
  <si>
    <t>Sources for columns [A]-[E]:</t>
  </si>
  <si>
    <t>=[15]*(1-[14])*[16]+(1-[15])*[17]</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</si>
  <si>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</si>
  <si>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</si>
  <si>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</si>
  <si>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</si>
  <si>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</si>
  <si>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</si>
  <si>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</si>
  <si>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</si>
  <si>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</si>
  <si>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</si>
  <si>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</si>
  <si>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</si>
  <si>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</si>
  <si>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</si>
  <si>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</si>
  <si>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</si>
  <si>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</si>
  <si>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</si>
  <si>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</si>
  <si>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</si>
  <si>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</si>
  <si>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</si>
  <si>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</si>
  <si>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</si>
  <si>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</si>
  <si>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[16]</t>
  </si>
  <si>
    <t>[17]</t>
  </si>
  <si>
    <t>Compare to Table A-5.A.4 “Base Case Input Parameters” in the MIT (2003) Future of Nuclear Power study.</t>
  </si>
  <si>
    <t>Given as in MIT (2003).</t>
  </si>
  <si>
    <t>Sets the incremental capital costs to the same ratio with the overnight cost as in the MIT (2003) study.</t>
  </si>
  <si>
    <t>[18]</t>
  </si>
  <si>
    <t>[19]</t>
  </si>
  <si>
    <t>[20]</t>
  </si>
  <si>
    <t>estimate the overnight cost in 2007 dollars as 74% of this total cost as incurred: $10.439=$14.107 * 74%.</t>
  </si>
  <si>
    <t>Units</t>
  </si>
  <si>
    <t>$/kW/year</t>
  </si>
  <si>
    <t>mills/kWh</t>
  </si>
  <si>
    <t>$/kWh</t>
  </si>
  <si>
    <t>$ million</t>
  </si>
  <si>
    <t>Decommissioning cost</t>
  </si>
  <si>
    <t>Variable O&amp;M Costs</t>
  </si>
  <si>
    <t>Fixed O&amp;M Costs</t>
  </si>
  <si>
    <t>Incremental capital costs</t>
  </si>
  <si>
    <t>Heat rate</t>
  </si>
  <si>
    <t>Fuel</t>
  </si>
  <si>
    <t>Btu/kWh</t>
  </si>
  <si>
    <t>$/mmBtu</t>
  </si>
  <si>
    <t>bituminous</t>
  </si>
  <si>
    <t>sub-bituminous</t>
  </si>
  <si>
    <t>blend</t>
  </si>
  <si>
    <t>Although the unit is being designed for a blend of bituminous and sub-bituminous coals, the R.W.Beck study, when estimating</t>
  </si>
  <si>
    <t>operating and maintenance costs, that bituminous coals are used.</t>
  </si>
  <si>
    <t>Carbon intensity</t>
  </si>
  <si>
    <t>Inflation Factor</t>
  </si>
  <si>
    <t>LCOE</t>
  </si>
  <si>
    <t>$/MWh</t>
  </si>
  <si>
    <t>MIT 2003</t>
  </si>
  <si>
    <t>kg C /mmBtu</t>
  </si>
  <si>
    <t>kg CO2 /mmBtu</t>
  </si>
  <si>
    <t>mmBtu/kWh</t>
  </si>
  <si>
    <t>kg CO2 /kWh</t>
  </si>
  <si>
    <t>g CO2 /kWh</t>
  </si>
  <si>
    <t>$/tCO2</t>
  </si>
  <si>
    <t>tCO2/kWh</t>
  </si>
  <si>
    <t>MIT (2003)</t>
  </si>
  <si>
    <t xml:space="preserve"> </t>
  </si>
  <si>
    <t>Update</t>
  </si>
  <si>
    <t>Higashidori 1 cost figure is from Kyodo News (2004), which was corroborated against the Tohoku Electric Annual Report for 2006, p. 41, change in account for Nuclear power plant and equipment.</t>
  </si>
  <si>
    <t xml:space="preserve">Shika 2 cost figure is from Dow Jones International News (2006), which was corroborated against the Hokoriku Electric Power Company Annual Report for 2006, p. 20, change in account for Nuclear power plant and equipment. </t>
  </si>
  <si>
    <t>$2007/kW</t>
  </si>
  <si>
    <t>$2002/kW</t>
  </si>
  <si>
    <t>2002¢/kWh</t>
  </si>
  <si>
    <t>2007¢/kWh</t>
  </si>
  <si>
    <t>Table 1: Summary of Results</t>
  </si>
  <si>
    <t>Table 2: Alternative Cost Quotation Methods for Nuclear Power Plants Illustrated with a Hypothetical Example</t>
  </si>
  <si>
    <t>Table 3B: Overnight Costs for Actual Builds in Japan and Korea 2004-2006</t>
  </si>
  <si>
    <t>Table 3A: Overnight Costs for Actual Builds in Japan and Korea 1994-2002, per MIT (2003) Future of Nuclear Power Study</t>
  </si>
  <si>
    <t>[J]</t>
  </si>
  <si>
    <t>=[J]*[K].</t>
  </si>
  <si>
    <t>Inflation factor is approx. 15% per annum, based on results in this paper.</t>
  </si>
  <si>
    <t>Table 4: Overnight Costs for Some Proposed Nuclear Plants in the US</t>
  </si>
  <si>
    <t>Table 5: Base Case Assumptions and Inputs for the Levelized Cost of Electricity</t>
  </si>
  <si>
    <t>Table 5: Base Case Assumptions and Inputs for the Levelized Cost of Electricity (cont.)</t>
  </si>
  <si>
    <t>Table 7: Overnight Costs for Some Planned Coal Plants in the US</t>
  </si>
  <si>
    <t>Table 8B: After-tax Cost Cash Flows at a Coal-Fired Power Plant</t>
  </si>
  <si>
    <t>Table 8C: Valuation of Cost Cash Flows at a Coal-Fired Power Plant</t>
  </si>
  <si>
    <t>Table 8D: The Levelized Cost of Electricity for a Coal-Fired Power Plant</t>
  </si>
  <si>
    <t>Table 6D: The Levelized Cost of Electricity for a Nuclear Power Plant</t>
  </si>
  <si>
    <t>Coal spot prices from EIA as of 5 December 2008</t>
  </si>
  <si>
    <t>Central Appalachia</t>
  </si>
  <si>
    <t>$/MMBTU</t>
  </si>
  <si>
    <t>BTU/lb</t>
  </si>
  <si>
    <t>$/short ton</t>
  </si>
  <si>
    <t>$/tonne</t>
  </si>
  <si>
    <t>Ulchin 5&amp;6 figures are from press report: Power in Asia (2005). Costs are reported in aggregate for units 5&amp;6 combined (4.47 trillion Won), and we have allocated the costs according to capacity.</t>
  </si>
  <si>
    <t>Gas</t>
  </si>
  <si>
    <t>BTU/kWh</t>
  </si>
  <si>
    <t>Hines Energy Complex 4</t>
  </si>
  <si>
    <t>2-on-1</t>
  </si>
  <si>
    <t>Blythe Energy Project II</t>
  </si>
  <si>
    <t>Portland General Electric</t>
  </si>
  <si>
    <t>Port Westward</t>
  </si>
  <si>
    <t>1-on-1</t>
  </si>
  <si>
    <t>Tracy</t>
  </si>
  <si>
    <t>Colusa</t>
  </si>
  <si>
    <t>San Gabriel</t>
  </si>
  <si>
    <t>Richmond</t>
  </si>
  <si>
    <t>Lodi</t>
  </si>
  <si>
    <t>Avenal Energy Project</t>
  </si>
  <si>
    <t>Harry Allen</t>
  </si>
  <si>
    <t>West County Energy Center 3</t>
  </si>
  <si>
    <t>adjust heat rate to match current assumption</t>
  </si>
  <si>
    <t>kg CO2 / kg C</t>
  </si>
  <si>
    <t>COAL</t>
  </si>
  <si>
    <t>GAS</t>
  </si>
  <si>
    <t>translate the carbon price in t/CO2 to a price /MWh</t>
  </si>
  <si>
    <t>¢/kWh</t>
  </si>
  <si>
    <t/>
  </si>
  <si>
    <t>Total Cost, incl. Capital Recovery Charge</t>
  </si>
  <si>
    <t>Total Cost (incl. capital charge), $2013</t>
  </si>
  <si>
    <t>Overnight Cost, $2013</t>
  </si>
  <si>
    <t>[9B]=[11A]*11.5%, and so on.</t>
  </si>
  <si>
    <t>=[8]+[9]</t>
  </si>
  <si>
    <t>=[12]*(1.115)^(2013-[2])</t>
  </si>
  <si>
    <t>Total NPV (t=2013)</t>
  </si>
  <si>
    <t>Table 10D: The Levelized Cost of Electricity for a Gas-Fired Power Plant</t>
  </si>
  <si>
    <t>Table 10C: Valuation of Cost Cash Flows at a Gas-Fired Power Plant</t>
  </si>
  <si>
    <t>Table10B: After-tax Cost Cash Flows at a Gas-Fired Power Plant</t>
  </si>
  <si>
    <t>Table 10A: Cost Cash Flows and Depreciation at a Gas-Fired Power Plant</t>
  </si>
  <si>
    <t>Construction Schedule as a Fraction of EPC Cost, $2007</t>
  </si>
  <si>
    <t>Caithness Energy</t>
  </si>
  <si>
    <t>PG&amp;E</t>
  </si>
  <si>
    <t>Reliant Energy</t>
  </si>
  <si>
    <t>Northern California Power Agency</t>
  </si>
  <si>
    <t>Competitive Power Ventures</t>
  </si>
  <si>
    <t>Macquarie (Federal Power)</t>
  </si>
  <si>
    <t>Table 9: Overnight Costs for Some Completed or Planned Gas Plants (CCGT) in the US</t>
  </si>
  <si>
    <t>Cost Est. Date</t>
  </si>
  <si>
    <t>Overnight Cost $2007</t>
  </si>
  <si>
    <t>Base Case</t>
  </si>
  <si>
    <t>w/ Carbon Charge $25/tCO2</t>
  </si>
  <si>
    <t>w/ same cost of capital</t>
  </si>
  <si>
    <t>Cost adders</t>
  </si>
  <si>
    <t>Commercial Operation Date</t>
  </si>
  <si>
    <t>Value of cost adders</t>
  </si>
  <si>
    <t>Overnight cost without adders</t>
  </si>
  <si>
    <t>co-location, GE 7FA turbine</t>
  </si>
  <si>
    <t>co-location, Siemens V84.3a turbine, chillers, duct firing</t>
  </si>
  <si>
    <t>Mitsubishi M501G1 turbine, evaporative chillers, 25MW duct firing</t>
  </si>
  <si>
    <t>co-location, GE 7FA turbine, dry cooling</t>
  </si>
  <si>
    <t>GE 7FA turbine, dry cooling, evaporative chillers, duct firing</t>
  </si>
  <si>
    <t>co-location, duct firing</t>
  </si>
  <si>
    <t>reclaimed water cooling (mechanical draft), evaporative chillers, duct firing</t>
  </si>
  <si>
    <t>GE 7FA turbine, dry cooling, mechanical chillers, duct firing</t>
  </si>
  <si>
    <t>co-location, dry cooling</t>
  </si>
  <si>
    <t>3-on-1</t>
  </si>
  <si>
    <t>co-location, reclaimed water cooling</t>
  </si>
  <si>
    <t>Combined Cycle Adders</t>
  </si>
  <si>
    <t>Dry cooling</t>
  </si>
  <si>
    <t>Chillers</t>
  </si>
  <si>
    <t>Duct firing</t>
  </si>
  <si>
    <t>Plume abated cooling tower</t>
  </si>
  <si>
    <t>No oxidation catalyst</t>
  </si>
  <si>
    <t>Urban site</t>
  </si>
  <si>
    <t>Co-located facility</t>
  </si>
  <si>
    <t>Alternative turbine designs</t>
  </si>
  <si>
    <t>SW 501</t>
  </si>
  <si>
    <t>Alstom GT-24</t>
  </si>
  <si>
    <t>GE 7E</t>
  </si>
  <si>
    <t>Alstom GTX100</t>
  </si>
  <si>
    <t>GE LM6000</t>
  </si>
  <si>
    <t>kg-C/mmBtu</t>
  </si>
  <si>
    <t>WACC (weighted avg cost of capital)</t>
  </si>
  <si>
    <t xml:space="preserve"> [K]</t>
  </si>
  <si>
    <t>Year 17</t>
  </si>
  <si>
    <t>Year 18</t>
  </si>
  <si>
    <t>Year 19</t>
  </si>
  <si>
    <t>Year 20</t>
  </si>
  <si>
    <t>Year 21</t>
  </si>
  <si>
    <t>Table 6A: Cost Cash Flows and Depreciation at a Nuclear Power Plant ($ millions)</t>
  </si>
  <si>
    <t>Table 6B: After-tax Cost Cash Flows at a Nuclear Power Plant ($ millions)</t>
  </si>
  <si>
    <t>Table 6C: Valuation of Cost Cash Flows at a Nuclear Power Plant ($ millions)</t>
  </si>
  <si>
    <t>Present Value ($ millions)</t>
  </si>
  <si>
    <t>After-Tax Revenue ($ millions)</t>
  </si>
  <si>
    <t>[1]-[4]</t>
  </si>
  <si>
    <t>USC - ultra-supercritical, SC - supercritical, PC - pulverized coal combustion</t>
  </si>
  <si>
    <t>California Energy Commission (2005), section 3</t>
  </si>
  <si>
    <t>Calendar year</t>
  </si>
  <si>
    <t>Sources for columns [A]-[G]:</t>
  </si>
  <si>
    <t>Notes for column [H]:</t>
  </si>
  <si>
    <t>Definitions for column [C]:</t>
  </si>
  <si>
    <t>Table 8A: Cost Cash Flows and Depreciation at a Coal-Fired Power Plant ($ millions)</t>
  </si>
  <si>
    <t>base year</t>
  </si>
  <si>
    <t>[11B]=[11A]+[8B]+[9B].</t>
  </si>
  <si>
    <t>=[12]*(1.03)^(2013-[2])</t>
  </si>
  <si>
    <t>co-location, GE 7FA turbine, reclaimed water cooling, 25 MW peak duct firing</t>
  </si>
  <si>
    <t>Vaca Station</t>
  </si>
  <si>
    <t>NV Energy (Sierra Pacific Power)</t>
  </si>
  <si>
    <t>NV Energy (Nevada Power)</t>
  </si>
  <si>
    <t>Progress Energy (Florida)</t>
  </si>
  <si>
    <t>Progress Energy (Carolinas)</t>
  </si>
  <si>
    <t>NV Energy (2008), p. 13.</t>
  </si>
  <si>
    <t xml:space="preserve">E&amp;L Westcoast (2006), section 3.  </t>
  </si>
  <si>
    <t>Heat rate (HHV)</t>
  </si>
  <si>
    <t>Avenal Energy [Federal Power] (2008), section 2.</t>
  </si>
  <si>
    <t>brownfield site, co-location, Siemens 5000F turbine, dry cooling, evaporative chillers, duct firing</t>
  </si>
  <si>
    <t xml:space="preserve">Reliant Energy (2007), section 2.  </t>
  </si>
  <si>
    <t>Florida Power &amp; Light (2008), section V.52, p. 19.</t>
  </si>
  <si>
    <t>*</t>
  </si>
  <si>
    <t>denotes completed facility as of January 2009</t>
  </si>
  <si>
    <t>For cost estimates reported for years after 2007, overnight costs in 2007 are adjusted based on 3% inflation.  Overnight costs in 2007 for completed plants are adjusted based on 10.7% annual cost escalation.</t>
  </si>
  <si>
    <t>The $1,611 figure is incremented by 20% for owner's cost and for inflation @15% per year: $2,930=$1,611 * (1.2) * (1.52)</t>
  </si>
  <si>
    <t>Escalation of overnight capital costs</t>
  </si>
  <si>
    <t>Carbon pricing</t>
  </si>
  <si>
    <t>$/t C</t>
  </si>
  <si>
    <t>$/t CO2</t>
  </si>
  <si>
    <t>equals</t>
  </si>
  <si>
    <t>Equivalent carbon price measurements</t>
  </si>
  <si>
    <t>Example assumes a total EPC overnight cost of $3,333, an inflation rate of 3%, a 20% factor for owner's cost and an allowed capital recovery charge of 11.5%.</t>
  </si>
  <si>
    <t>This adjusts for the inflation embedded in total project costs which sum expenditures made in different years. See Table 2 and related discussion. Overnight cost factor for Japan is our estimate as the MIT Future of Nuclear Power</t>
  </si>
  <si>
    <t xml:space="preserve"> study does not provide this.  Overnight cost factor for Korea is implicitly provided in the MIT Future of Nuclear Study since both the total cost and the overnight cost are reported: 78%=1,800/2,300.</t>
  </si>
  <si>
    <t>Overnight cost factors from Table 3A.</t>
  </si>
  <si>
    <t>Balance of plant</t>
  </si>
  <si>
    <t>million $</t>
  </si>
  <si>
    <t>Sources for columns [A]-[K]:</t>
  </si>
  <si>
    <t>[M]</t>
  </si>
  <si>
    <t>Notes for column [K]:</t>
  </si>
  <si>
    <t>= 1/(1+WACC)^[A]. WACC is given in Table 5.</t>
  </si>
  <si>
    <t>= sum [1]-[44].</t>
  </si>
  <si>
    <t>[46D]</t>
  </si>
  <si>
    <t>= [45D]/[45H], and so on.</t>
  </si>
  <si>
    <t>= [45]*1/(1+WACC)^(2013-2007). WACC is given in Table 5.</t>
  </si>
  <si>
    <t>2008 Update</t>
  </si>
  <si>
    <t>Adjustments for O&amp;M Costs</t>
  </si>
  <si>
    <r>
      <t>kgCO</t>
    </r>
    <r>
      <rPr>
        <vertAlign val="subscript"/>
        <sz val="10"/>
        <rFont val="Arial"/>
        <family val="2"/>
      </rPr>
      <t>2</t>
    </r>
    <r>
      <rPr>
        <sz val="10"/>
        <rFont val="Arial"/>
        <family val="2"/>
      </rPr>
      <t>/kWh</t>
    </r>
  </si>
  <si>
    <t>O&amp;M cost MWh as reported by EIA, $/MWh</t>
  </si>
  <si>
    <t>% change</t>
  </si>
  <si>
    <t>MIT (2003), Table 5.3, p. 43.</t>
  </si>
  <si>
    <t>between 2002 and 2007 as documented by the US Energy Information Administration.</t>
  </si>
  <si>
    <t>MIT (2003), Table 5.1, p. 42, Carbon Tax Cases, 40-year. We translate results quoted in $/tC into results in $/t CO2.</t>
  </si>
  <si>
    <t>= from Table 6C column [H].</t>
  </si>
  <si>
    <t>= from Table 8C column [H].</t>
  </si>
  <si>
    <t>Row [0] column [D] is chosen to set row [45] column [H] equal to zero.</t>
  </si>
  <si>
    <t>= from Table 10C column [H].</t>
  </si>
  <si>
    <t>Fresh UOX Fabrication</t>
  </si>
  <si>
    <t>UOX in LWRs</t>
  </si>
  <si>
    <t>Loss during conversion</t>
  </si>
  <si>
    <t>Loss during enrichment</t>
  </si>
  <si>
    <t>Economic Data</t>
  </si>
  <si>
    <t>Loss during fabrication</t>
  </si>
  <si>
    <t>$/kgHM</t>
  </si>
  <si>
    <t>Ore Purchase</t>
  </si>
  <si>
    <t>Cost ratio</t>
  </si>
  <si>
    <t>Yellow Cake Conversion</t>
  </si>
  <si>
    <t>Enrichment</t>
  </si>
  <si>
    <t>$/SWU</t>
  </si>
  <si>
    <t>Optimum Tails  Assay</t>
  </si>
  <si>
    <t>Fabrication of UOX fuel for LWR</t>
  </si>
  <si>
    <t>Feed (initial kgU/enriched kgU)</t>
  </si>
  <si>
    <t>Discount Rate</t>
  </si>
  <si>
    <t>Separative Work Units</t>
  </si>
  <si>
    <t>Fuel Cycle Expenses</t>
  </si>
  <si>
    <t>NPV</t>
  </si>
  <si>
    <t>Fabrication of UOX fuel</t>
  </si>
  <si>
    <t>Total Cost ($/kgUOX)</t>
  </si>
  <si>
    <t>Fuel Cost</t>
  </si>
  <si>
    <t>mil / kWh</t>
  </si>
  <si>
    <t>¢ / kWh</t>
  </si>
  <si>
    <t>Notes for columns [L] and [M]:</t>
  </si>
  <si>
    <t>See 'Ancillary Calculations' for documentation of cost adders, reported in Klein (2007), pp. 42-44.</t>
  </si>
  <si>
    <t>Progress Energy Carolinas (2008).</t>
  </si>
  <si>
    <t>Competitive Power Ventures (2008), section 2.</t>
  </si>
  <si>
    <t>Northern California Power Agency (2008), section 2.</t>
  </si>
  <si>
    <t>Progress Energy (2008), ch. 3, p. 8; State of Florida Siting Board (2005).</t>
  </si>
  <si>
    <t>Progress Energy cited a value of zero dollars for cost escalation from base year 2006.</t>
  </si>
  <si>
    <t>Peltier (2008); NV Energy (2007), p. 23.</t>
  </si>
  <si>
    <t>US $/kW</t>
  </si>
  <si>
    <t>Overnight Cost in 2007</t>
  </si>
  <si>
    <t>Cost at Completion</t>
  </si>
  <si>
    <t>Florida Power &amp; Light (2007a), p. 37, Table III.F.1. .</t>
  </si>
  <si>
    <t>Southwestern Electric Power Company (2006a); (2006b); and (2008), p. 20.</t>
  </si>
  <si>
    <t>American Municipal Power-Ohio, Inc. (2007); R.W. Beck (2008a) and (2008b).</t>
  </si>
  <si>
    <t>Tennessee Valley Authority (2005), pp. 1-6.</t>
  </si>
  <si>
    <t>The average across cases A-C, exclusive of transmission costs is</t>
  </si>
  <si>
    <t xml:space="preserve">Florida Power &amp; Light (2007b), p. 81, Table V.A.5.1. </t>
  </si>
  <si>
    <t>Appendix last page, "New Nuclear Plant Modeling Information, Capital Cost Estimate for</t>
  </si>
  <si>
    <t>SCE&amp;G (2008) Exhibit F, Chart A.</t>
  </si>
  <si>
    <t>Georgia Power (2008), pp. 14 and 57.</t>
  </si>
  <si>
    <t xml:space="preserve">The total cost for the project is therefore $14.107=$6.447/0.457. This is a total cost as incurred which </t>
  </si>
  <si>
    <t xml:space="preserve">Estmated in-service cost of $6,446,564,927. This is the cost for Georgia Power's 45.7% share. </t>
  </si>
  <si>
    <t>EPC overnight cost of $1,611denominated in 2004 dollars.</t>
  </si>
  <si>
    <t>Overnight cost figure is raw cost as reported by King.</t>
  </si>
  <si>
    <t xml:space="preserve">King (2008), pp. 7-8; Mody (2007), p. 2.  </t>
  </si>
  <si>
    <t>FPL's proposal leaves open the option of building either 2 AP100s or 2 EBWRs. The overnight cost estimate shown for the</t>
  </si>
  <si>
    <t>two designs is the same. However, the estimate was constructed starting from the TVA study which used the ABWR</t>
  </si>
  <si>
    <t>design, and it was based on adjustments from that design to the ESBWR.</t>
  </si>
  <si>
    <t xml:space="preserve">Anticipated Construction Schedule shows anticipated plants costs as incurred, as well as transmission and financing </t>
  </si>
  <si>
    <t>charges. We take only the plant costs, which total $5,411,067 in nominal dollars inflated as expended. We back out</t>
  </si>
  <si>
    <t>the approx. 2.81% annual inflation to arrive at a an overnight cost in 2007$ of $4,652,551. This represents only SCE&amp;G's</t>
  </si>
  <si>
    <t>55% share of the total plant cost, so we calculate the total to be $8,459,184. Then, $3,787=$8,459,184/2,234.</t>
  </si>
  <si>
    <t>Then, $4,745=$10,439,344/2,200.</t>
  </si>
  <si>
    <t>[3A]</t>
  </si>
  <si>
    <t>[3B]</t>
  </si>
  <si>
    <t>[3C]</t>
  </si>
  <si>
    <t>Input selected based on results in this paper--see text.</t>
  </si>
  <si>
    <t>[5A]</t>
  </si>
  <si>
    <t>[5B]</t>
  </si>
  <si>
    <t>[5C]</t>
  </si>
  <si>
    <t xml:space="preserve">=(20/2,000)*[4A]. </t>
  </si>
  <si>
    <t xml:space="preserve">=(15/1,300)*[4B]. </t>
  </si>
  <si>
    <t xml:space="preserve">=(6/500)*[4C]. </t>
  </si>
  <si>
    <t>=63*(1.29/1.44).</t>
  </si>
  <si>
    <t>Adjusts the fixed O&amp;M costs from the MIT (2003) study to reflect the general trend in O&amp;M cost</t>
  </si>
  <si>
    <t>[6A]</t>
  </si>
  <si>
    <t>[6B]</t>
  </si>
  <si>
    <t>[6C]</t>
  </si>
  <si>
    <t>=23*(0.56/0.53).</t>
  </si>
  <si>
    <t>=16*(0.49/0.62).</t>
  </si>
  <si>
    <t>=0.47*(1.29/1.44).</t>
  </si>
  <si>
    <t>Adjusts the variable O&amp;M costs from the MIT (2003) study to reflect the general trend in O&amp;M cost</t>
  </si>
  <si>
    <t>[7A]</t>
  </si>
  <si>
    <t>[7B]</t>
  </si>
  <si>
    <t>[7C]</t>
  </si>
  <si>
    <t>=3.38*(0.56/0.53).</t>
  </si>
  <si>
    <t>=0.52*(0.49/0.62).</t>
  </si>
  <si>
    <t>Given as in MIT (2003), consistent with statutory fees.</t>
  </si>
  <si>
    <t>[9A]</t>
  </si>
  <si>
    <t>Sets the decommissioning cost to the same ratio with the overnight cost as in the MIT (2003) study.</t>
  </si>
  <si>
    <t>[10A]</t>
  </si>
  <si>
    <t xml:space="preserve">=(350/2,000)*[4A]. </t>
  </si>
  <si>
    <t>[21A]</t>
  </si>
  <si>
    <t>Modified Accelerated Cost Recovery System, half-year convention as listed in IRS (2007), Table A-1, p. 71</t>
  </si>
  <si>
    <t>15-year schedule.</t>
  </si>
  <si>
    <t>[21B]</t>
  </si>
  <si>
    <t>20-year schedule.</t>
  </si>
  <si>
    <t>[21C]</t>
  </si>
  <si>
    <t xml:space="preserve">=overnight cost * capacity * construction schedule(t) * inflation factor(t). </t>
  </si>
  <si>
    <t xml:space="preserve">=sum of [C] * depreciation schedule(t). </t>
  </si>
  <si>
    <t>=incremental capital cost * capacity * inflation factor(t). In the last year the decommissioning cost * inflation factor is added.</t>
  </si>
  <si>
    <t>= (fixed O&amp;M cost * capacity + variable O&amp;M cost * output) * inflation factor(t).</t>
  </si>
  <si>
    <t>= fuel cost * heat rate * output * inflation factor(t).</t>
  </si>
  <si>
    <t>= Table 6A column [C](t) - tax rate * Table 6A column [D](t).</t>
  </si>
  <si>
    <t>= Table 6A column [E](t) * (1-tax rate).</t>
  </si>
  <si>
    <t>= Table 6A, column [F](t) * (1-tax rate).</t>
  </si>
  <si>
    <t>= Table 6A, (columns [G]+[H])(t) * (1-tax rate).</t>
  </si>
  <si>
    <t>= Table 6B column [C] * this Table column [C].</t>
  </si>
  <si>
    <t>= Table 6B column [D] * this Table column [C].</t>
  </si>
  <si>
    <t>= Table 6B column [E] * this Table column [C].</t>
  </si>
  <si>
    <t>= Table 6B column [F] * this Table column [C].</t>
  </si>
  <si>
    <t>= row [0] column [D] * inflation factor(t).</t>
  </si>
  <si>
    <t>= price(t) * output * inflation factor(t) * (1-tax rate).</t>
  </si>
  <si>
    <t>= [C]*[E].</t>
  </si>
  <si>
    <t>=incremental capital cost * capacity * inflation factor(t).</t>
  </si>
  <si>
    <t>= Table 8A column [C](t) - tax rate * Table 8A column [D](t).</t>
  </si>
  <si>
    <t>= Table 8A column [E](t) * (1-tax rate).</t>
  </si>
  <si>
    <t>= Table 8A, column [F](t) * (1-tax rate).</t>
  </si>
  <si>
    <t>= Table 8A, (columns [G]+[H])(t) * (1-tax rate).</t>
  </si>
  <si>
    <t>= Table 10A column [C](t) - tax rate * Table 10A column [D](t).</t>
  </si>
  <si>
    <t>= Table 10A column [E](t) * (1-tax rate).</t>
  </si>
  <si>
    <t>= Table 10A, column [F](t) * (1-tax rate).</t>
  </si>
  <si>
    <t>= Table 10A, (columns [G]+[H])(t) * (1-tax rate).</t>
  </si>
  <si>
    <t>= Table 8B column [C] * this Table column [C].</t>
  </si>
  <si>
    <t>= Table 8B column [D] * this Table column [C].</t>
  </si>
  <si>
    <t>= Table 8B column [E] * this Table column [C].</t>
  </si>
  <si>
    <t>= Table 8B column [F] * this Table column [C].</t>
  </si>
  <si>
    <t>= Table 10B column [C] * this Table column [C].</t>
  </si>
  <si>
    <t>= Table 10B column [D] * this Table column [C].</t>
  </si>
  <si>
    <t>= Table 10B column [E] * this Table column [C].</t>
  </si>
  <si>
    <t>= Table 10B column [F] * this Table column [C].</t>
  </si>
  <si>
    <t xml:space="preserve">We start by summing the reported power plant costs (incl. land) and 1/2 of transmission costs, which equals $4.424 billion. </t>
  </si>
  <si>
    <t>MIT est.</t>
  </si>
  <si>
    <t>GDP defl.</t>
  </si>
  <si>
    <t>avg ann.</t>
  </si>
  <si>
    <t>Coal price conversion</t>
  </si>
  <si>
    <t>Input Value: Fixed O&amp;M, $/MW/yr</t>
  </si>
  <si>
    <t>Input Value: Variable O&amp;M, mills/kWh</t>
  </si>
  <si>
    <t>To back out the effect of inflation, we multiply by 86%, which is the ratio of this total cost as expended to the overnight cost in 2007 dollars given a 3% inflation rate.</t>
  </si>
  <si>
    <t>The 3% rate is what FPL used in constructing its estimate, and the 86% figure is derived from the calculations shown in Table 2, with appropriate adjustments</t>
  </si>
  <si>
    <t>Therefore the total overnight cost in billions 2007 $ is 3.804=4.424 * 86%. Per kW we have: $1,941/kW=$3,804,210/1,960kW.</t>
  </si>
  <si>
    <t>Starting with the reported $1.8 billion cost, we apply the same 86% ratio as used in [1] to back out inflation. $1.548=$1.800 * 86%. Then, $1,935=$1,548,000/800.</t>
  </si>
  <si>
    <t>We start with the reported cost of $3.257 billion. To back out the effect of inflation, we multiply by approx. 88%, which is the ratio of this total cost as expended to</t>
  </si>
  <si>
    <t>The result is: 2,866,160=3,257,000 * 88%. Then, $3,081=$2,866,160/960.</t>
  </si>
  <si>
    <t>Starting with the reported cost of $1.558 billion, we apply an approx. 88% ratio to back out inflation: $1,371,040=$1,558,000 * 88%. Then, $2,352=$1,371,040/600.</t>
  </si>
  <si>
    <t>update</t>
  </si>
  <si>
    <t>compare to MIT 2007</t>
  </si>
  <si>
    <t>/$1</t>
  </si>
  <si>
    <t>ratio</t>
  </si>
  <si>
    <t>MIT (2003), Table 5.1, p. 42, Reduce Nuclear Costs Cases. The table shows results step-wise for changing 3 assumptions, with the reduction of the cost</t>
  </si>
  <si>
    <t xml:space="preserve">of capital being the last step. We give the result for just reducing the cost of capital to be equivalent to coal and gas, without the other 2 assumptions </t>
  </si>
  <si>
    <t>being varied.</t>
  </si>
  <si>
    <t>LCOE impact of fuel cost and LCOE changes</t>
  </si>
  <si>
    <t>$2002/mmBtu</t>
  </si>
  <si>
    <t>$2007/mmBtu</t>
  </si>
  <si>
    <t>MIT (2003), Table 5.3, p. 43 for coal and gas; for nuclear see Appendix 5, Table A-5.A4.</t>
  </si>
  <si>
    <t>Nominal Cost Escalation Factors</t>
  </si>
  <si>
    <t>Real Cost Escalation Factors</t>
  </si>
  <si>
    <t>MIT (2003), Table 5.1, p. 42, Base Case, 40-year. "Gas (moderate)" case is reported here, which was $3.50 escalated at 1.5% real, equilvalent to $4.42 levelized real over 40 years.</t>
  </si>
  <si>
    <t>[H1]</t>
  </si>
  <si>
    <t>[H2]</t>
  </si>
  <si>
    <t>[H3]</t>
  </si>
  <si>
    <t>[J1]</t>
  </si>
  <si>
    <t>From results of this study, as calculated in Table 6D</t>
  </si>
  <si>
    <t>From results of this study as discussed in the text.</t>
  </si>
  <si>
    <t>Input selected as discussed in the text. All fuel costs are escalated at 1.5% real through the life of the plant.</t>
  </si>
  <si>
    <t>From results of this study, as calculated in Table 8D</t>
  </si>
  <si>
    <t>From results of this study, as calculated in Table 10D</t>
  </si>
  <si>
    <t>From results of this study, by recalculating Tables 6A-6D, setting the assumed debt fraction and the equity rate for nuclear to match coal and gas -- see Table 5, rows [16] and [18].</t>
  </si>
  <si>
    <t>total change</t>
  </si>
  <si>
    <t>Overnight Cost     $Year Est.</t>
  </si>
  <si>
    <t>This spreadsheet accompanies the paper:</t>
  </si>
  <si>
    <t>Du, Yangbo and John Parsons, 2009, "Update on the Cost of Nuclear Power", Center for Energy and Environmental Policy Research WP-09-004.</t>
  </si>
  <si>
    <t>The spreadsheet includes all of the tables from the paper, but most importantly executes the levelized cost of electricity (LCOE) calculations.</t>
  </si>
  <si>
    <t>Table 5 shows all of the inputs.</t>
  </si>
  <si>
    <t>Tables 6A-6D calculate the LCOE for nuclear.</t>
  </si>
  <si>
    <t>Tables 8A-8D calculate the LCOE for coal.</t>
  </si>
  <si>
    <t>Tables 10A-10D calculate the LCOE for gas.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</si>
</sst>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
    <numFmt numFmtId="168" formatCode="[$-409]dddd\,\ mmmm\ dd\,\ yyyy"/>
    <numFmt numFmtId="169" formatCode="[$-409]mmm\-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0.00000"/>
    <numFmt numFmtId="177" formatCode="0.0000000"/>
    <numFmt numFmtId="178" formatCode="0.000000"/>
    <numFmt numFmtId="179" formatCode="dd/mm/yyyy"/>
    <numFmt numFmtId="180" formatCode="0.00000000"/>
    <numFmt numFmtId="181" formatCode="#,##0.0"/>
    <numFmt numFmtId="182" formatCode="######"/>
    <numFmt numFmtId="183" formatCode="#,##0.000"/>
    <numFmt numFmtId="184" formatCode="0.000%"/>
    <numFmt numFmtId="185" formatCode="0.000000000"/>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0_);\(#,##0.000\)"/>
    <numFmt numFmtId="192" formatCode="_(&quot;$&quot;* #,##0.000_);_(&quot;$&quot;* \(#,##0.000\);_(&quot;$&quot;* &quot;-&quot;???_);_(@_)"/>
    <numFmt numFmtId="193" formatCode="_(* #,##0.0_);_(* \(#,##0.0\);_(* &quot;-&quot;??_);_(@_)"/>
    <numFmt numFmtId="194" formatCode="_(* #,##0_);_(* \(#,##0\);_(* &quot;-&quot;??_);_(@_)"/>
    <numFmt numFmtId="195" formatCode="0.0000%"/>
    <numFmt numFmtId="196" formatCode="_(* #,##0.000_);_(* \(#,##0.000\);_(* &quot;-&quot;???_);_(@_)"/>
    <numFmt numFmtId="197" formatCode="&quot;$&quot;#,##0.00"/>
    <numFmt numFmtId="198" formatCode="mmm\-yyyy"/>
    <numFmt numFmtId="199" formatCode="&quot;$&quot;#,##0.0_);[Red]\(&quot;$&quot;#,##0.0\)"/>
    <numFmt numFmtId="200" formatCode="0_);\(0\)"/>
    <numFmt numFmtId="201" formatCode="&quot;$&quot;#,##0"/>
    <numFmt numFmtId="202" formatCode="#,##0.0000"/>
    <numFmt numFmtId="203" formatCode="#,##0.00000"/>
    <numFmt numFmtId="204" formatCode="#,##0.000000"/>
    <numFmt numFmtId="205" formatCode="#,##0.0000000"/>
    <numFmt numFmtId="206" formatCode="#,##0.00000000"/>
    <numFmt numFmtId="207" formatCode="#,##0.000000000"/>
    <numFmt numFmtId="208" formatCode="#,##0.0000000000"/>
    <numFmt numFmtId="209" formatCode="_(* #,##0.000_);_(* \(#,##0.000\);_(* &quot;-&quot;??_);_(@_)"/>
  </numFmts>
  <fonts count="28">
    <font>
      <sz val="10"/>
      <name val="Arial"/>
      <family val="0"/>
    </font>
    <font>
      <u val="single"/>
      <sz val="10"/>
      <color indexed="12"/>
      <name val="Arial"/>
      <family val="2"/>
    </font>
    <font>
      <u val="single"/>
      <sz val="10"/>
      <color indexed="36"/>
      <name val="Arial"/>
      <family val="2"/>
    </font>
    <font>
      <sz val="8"/>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Verdana"/>
      <family val="2"/>
    </font>
    <font>
      <vertAlign val="subscript"/>
      <sz val="10"/>
      <name val="Arial"/>
      <family val="2"/>
    </font>
    <font>
      <b/>
      <sz val="10"/>
      <name val="Arial"/>
      <family val="2"/>
    </font>
    <font>
      <sz val="12"/>
      <name val="Arial"/>
      <family val="2"/>
    </font>
    <font>
      <sz val="10"/>
      <color indexed="48"/>
      <name val="Arial"/>
      <family val="2"/>
    </font>
    <font>
      <sz val="1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7"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62">
    <xf numFmtId="0" fontId="0" fillId="0" borderId="0" xfId="0" applyAlignment="1">
      <alignment/>
    </xf>
    <xf numFmtId="9" fontId="0" fillId="0" borderId="0" xfId="0" applyNumberFormat="1" applyAlignment="1">
      <alignment/>
    </xf>
    <xf numFmtId="167" fontId="0" fillId="0" borderId="0" xfId="0" applyNumberFormat="1" applyAlignment="1">
      <alignment/>
    </xf>
    <xf numFmtId="3" fontId="0" fillId="0" borderId="0" xfId="0" applyNumberFormat="1" applyAlignment="1">
      <alignment/>
    </xf>
    <xf numFmtId="9" fontId="0" fillId="0" borderId="0" xfId="60" applyNumberFormat="1" applyAlignment="1">
      <alignment horizontal="right" indent="1"/>
    </xf>
    <xf numFmtId="0" fontId="0" fillId="0" borderId="0" xfId="0" applyAlignment="1">
      <alignment horizontal="right" indent="1"/>
    </xf>
    <xf numFmtId="3" fontId="0" fillId="0" borderId="0" xfId="0" applyNumberFormat="1" applyAlignment="1">
      <alignment horizontal="right" indent="1"/>
    </xf>
    <xf numFmtId="9" fontId="0" fillId="0" borderId="0" xfId="0" applyNumberFormat="1" applyBorder="1" applyAlignment="1">
      <alignment horizontal="right" indent="1"/>
    </xf>
    <xf numFmtId="3" fontId="0" fillId="0" borderId="0" xfId="0" applyNumberFormat="1" applyBorder="1" applyAlignment="1">
      <alignment horizontal="right" indent="1"/>
    </xf>
    <xf numFmtId="0" fontId="0" fillId="0" borderId="10" xfId="0" applyBorder="1" applyAlignment="1">
      <alignment/>
    </xf>
    <xf numFmtId="0" fontId="4" fillId="0" borderId="10" xfId="0" applyFont="1" applyBorder="1" applyAlignment="1">
      <alignment/>
    </xf>
    <xf numFmtId="0" fontId="0" fillId="0" borderId="11" xfId="0" applyBorder="1" applyAlignment="1">
      <alignment horizontal="center"/>
    </xf>
    <xf numFmtId="0" fontId="0" fillId="0" borderId="11" xfId="0" applyBorder="1" applyAlignment="1">
      <alignment/>
    </xf>
    <xf numFmtId="3" fontId="0" fillId="0" borderId="11" xfId="0" applyNumberFormat="1" applyBorder="1" applyAlignment="1">
      <alignment horizontal="right" indent="1"/>
    </xf>
    <xf numFmtId="1" fontId="0" fillId="0" borderId="10" xfId="0" applyNumberFormat="1" applyBorder="1" applyAlignment="1">
      <alignment/>
    </xf>
    <xf numFmtId="0" fontId="3" fillId="0" borderId="0" xfId="0" applyFont="1" applyAlignment="1">
      <alignment/>
    </xf>
    <xf numFmtId="0" fontId="3" fillId="0" borderId="0" xfId="0" applyFont="1" applyAlignment="1" quotePrefix="1">
      <alignment/>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xf>
    <xf numFmtId="42" fontId="0" fillId="0" borderId="0" xfId="0" applyNumberFormat="1" applyAlignment="1">
      <alignment/>
    </xf>
    <xf numFmtId="10" fontId="0" fillId="0" borderId="0" xfId="0" applyNumberFormat="1" applyAlignment="1">
      <alignment/>
    </xf>
    <xf numFmtId="0" fontId="0" fillId="0" borderId="0" xfId="0" applyAlignment="1">
      <alignment horizontal="center" wrapText="1"/>
    </xf>
    <xf numFmtId="42" fontId="0" fillId="0" borderId="0" xfId="0" applyNumberFormat="1" applyAlignment="1">
      <alignment horizontal="center" wrapText="1"/>
    </xf>
    <xf numFmtId="191" fontId="0" fillId="0" borderId="0" xfId="0" applyNumberFormat="1" applyAlignment="1">
      <alignment/>
    </xf>
    <xf numFmtId="0" fontId="0" fillId="0" borderId="0" xfId="0" applyFont="1" applyAlignment="1">
      <alignment horizontal="center" wrapText="1"/>
    </xf>
    <xf numFmtId="42" fontId="0" fillId="0" borderId="0" xfId="0" applyNumberFormat="1" applyFont="1" applyAlignment="1">
      <alignment horizontal="center" wrapText="1"/>
    </xf>
    <xf numFmtId="1" fontId="0" fillId="0" borderId="0" xfId="0" applyNumberFormat="1" applyAlignment="1">
      <alignment/>
    </xf>
    <xf numFmtId="1" fontId="0" fillId="0" borderId="0" xfId="0" applyNumberFormat="1" applyAlignment="1">
      <alignment horizontal="right" indent="2"/>
    </xf>
    <xf numFmtId="42" fontId="0" fillId="0" borderId="0" xfId="0" applyNumberFormat="1" applyFont="1" applyAlignment="1" quotePrefix="1">
      <alignment horizontal="center" wrapText="1"/>
    </xf>
    <xf numFmtId="3" fontId="0" fillId="0" borderId="0" xfId="0" applyNumberFormat="1" applyAlignment="1">
      <alignment horizontal="right" indent="2"/>
    </xf>
    <xf numFmtId="191" fontId="0" fillId="0" borderId="0" xfId="0" applyNumberFormat="1" applyAlignment="1">
      <alignment horizontal="right" indent="1"/>
    </xf>
    <xf numFmtId="0" fontId="0" fillId="0" borderId="0" xfId="0" applyAlignment="1">
      <alignment horizontal="left"/>
    </xf>
    <xf numFmtId="9" fontId="0" fillId="0" borderId="0" xfId="60" applyFont="1" applyAlignment="1">
      <alignment horizontal="right" indent="2"/>
    </xf>
    <xf numFmtId="0" fontId="0" fillId="0" borderId="0" xfId="0" applyAlignment="1">
      <alignment horizontal="right" indent="2"/>
    </xf>
    <xf numFmtId="9" fontId="0" fillId="0" borderId="0" xfId="60" applyAlignment="1">
      <alignment horizontal="right" indent="2"/>
    </xf>
    <xf numFmtId="195" fontId="0" fillId="0" borderId="0" xfId="0" applyNumberFormat="1" applyAlignment="1">
      <alignment/>
    </xf>
    <xf numFmtId="0" fontId="0" fillId="0" borderId="0" xfId="0" applyBorder="1" applyAlignment="1">
      <alignment/>
    </xf>
    <xf numFmtId="0" fontId="0" fillId="0" borderId="0" xfId="0" applyBorder="1" applyAlignment="1">
      <alignment horizontal="center"/>
    </xf>
    <xf numFmtId="165" fontId="0" fillId="0" borderId="0" xfId="0" applyNumberFormat="1" applyAlignment="1">
      <alignment/>
    </xf>
    <xf numFmtId="3" fontId="0" fillId="0" borderId="12" xfId="0" applyNumberFormat="1" applyBorder="1" applyAlignment="1">
      <alignment horizontal="right" indent="1"/>
    </xf>
    <xf numFmtId="2" fontId="0" fillId="0" borderId="0" xfId="0" applyNumberFormat="1" applyAlignment="1">
      <alignment/>
    </xf>
    <xf numFmtId="0" fontId="4" fillId="0" borderId="10" xfId="0" applyFon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3" xfId="0" applyFill="1" applyBorder="1" applyAlignment="1">
      <alignment horizontal="centerContinuous" wrapText="1"/>
    </xf>
    <xf numFmtId="0" fontId="0" fillId="0" borderId="13" xfId="0" applyFill="1" applyBorder="1" applyAlignment="1">
      <alignment horizontal="centerContinuous"/>
    </xf>
    <xf numFmtId="0" fontId="0" fillId="0" borderId="0" xfId="0" applyFill="1" applyBorder="1" applyAlignment="1">
      <alignment horizontal="center" wrapText="1"/>
    </xf>
    <xf numFmtId="0" fontId="0" fillId="0" borderId="11" xfId="0" applyFill="1" applyBorder="1" applyAlignment="1">
      <alignment horizontal="center" wrapText="1"/>
    </xf>
    <xf numFmtId="1" fontId="0" fillId="0" borderId="0" xfId="0" applyNumberFormat="1" applyFill="1" applyBorder="1" applyAlignment="1">
      <alignment horizontal="center"/>
    </xf>
    <xf numFmtId="3" fontId="0" fillId="0" borderId="0" xfId="0" applyNumberFormat="1" applyFill="1" applyBorder="1" applyAlignment="1">
      <alignment/>
    </xf>
    <xf numFmtId="4" fontId="0" fillId="0" borderId="0" xfId="0" applyNumberFormat="1" applyFill="1" applyBorder="1" applyAlignment="1">
      <alignment/>
    </xf>
    <xf numFmtId="3" fontId="0" fillId="0" borderId="0" xfId="0" applyNumberFormat="1" applyFill="1" applyBorder="1" applyAlignment="1">
      <alignment horizontal="right" indent="3"/>
    </xf>
    <xf numFmtId="3" fontId="0" fillId="0" borderId="0" xfId="0" applyNumberFormat="1" applyFill="1" applyBorder="1" applyAlignment="1">
      <alignment horizontal="center"/>
    </xf>
    <xf numFmtId="4" fontId="0" fillId="0" borderId="0" xfId="0" applyNumberFormat="1" applyFill="1" applyBorder="1" applyAlignment="1">
      <alignment horizontal="center"/>
    </xf>
    <xf numFmtId="3" fontId="0" fillId="0" borderId="10" xfId="0" applyNumberFormat="1" applyFill="1" applyBorder="1" applyAlignment="1">
      <alignment/>
    </xf>
    <xf numFmtId="0" fontId="0" fillId="0" borderId="10" xfId="0" applyFill="1" applyBorder="1" applyAlignment="1">
      <alignment horizontal="center" wrapText="1"/>
    </xf>
    <xf numFmtId="3" fontId="0" fillId="0" borderId="10" xfId="0" applyNumberFormat="1" applyFill="1" applyBorder="1" applyAlignment="1">
      <alignment wrapText="1"/>
    </xf>
    <xf numFmtId="4" fontId="0" fillId="0" borderId="10" xfId="0" applyNumberFormat="1" applyFill="1" applyBorder="1" applyAlignment="1">
      <alignment/>
    </xf>
    <xf numFmtId="3" fontId="0" fillId="0" borderId="0" xfId="0" applyNumberFormat="1" applyFill="1" applyBorder="1" applyAlignment="1">
      <alignment wrapText="1"/>
    </xf>
    <xf numFmtId="0" fontId="0" fillId="0" borderId="0" xfId="0" applyFill="1" applyAlignment="1">
      <alignment horizontal="center"/>
    </xf>
    <xf numFmtId="0" fontId="0" fillId="0" borderId="0" xfId="0" applyFill="1" applyBorder="1" applyAlignment="1" quotePrefix="1">
      <alignment horizontal="center" wrapText="1"/>
    </xf>
    <xf numFmtId="9" fontId="0" fillId="0" borderId="0" xfId="60" applyFont="1" applyFill="1" applyBorder="1" applyAlignment="1">
      <alignment horizontal="center"/>
    </xf>
    <xf numFmtId="0" fontId="3" fillId="0" borderId="0" xfId="0" applyFont="1" applyFill="1" applyAlignment="1">
      <alignment/>
    </xf>
    <xf numFmtId="3" fontId="0" fillId="0" borderId="0" xfId="0" applyNumberFormat="1" applyFill="1" applyBorder="1" applyAlignment="1">
      <alignment horizontal="right" indent="1"/>
    </xf>
    <xf numFmtId="0" fontId="0" fillId="0" borderId="0" xfId="0" applyFill="1" applyAlignment="1">
      <alignment horizontal="center" wrapText="1"/>
    </xf>
    <xf numFmtId="9" fontId="0" fillId="0" borderId="0" xfId="60" applyFill="1" applyBorder="1" applyAlignment="1">
      <alignment/>
    </xf>
    <xf numFmtId="169" fontId="0" fillId="0" borderId="0" xfId="0" applyNumberFormat="1" applyFill="1" applyAlignment="1">
      <alignment/>
    </xf>
    <xf numFmtId="1" fontId="0" fillId="0" borderId="0" xfId="0" applyNumberFormat="1" applyFill="1" applyAlignment="1">
      <alignment/>
    </xf>
    <xf numFmtId="0" fontId="0" fillId="0" borderId="0" xfId="0" applyFill="1" applyBorder="1" applyAlignment="1">
      <alignment vertical="center"/>
    </xf>
    <xf numFmtId="9" fontId="0" fillId="0" borderId="0" xfId="0" applyNumberFormat="1" applyFill="1" applyAlignment="1">
      <alignment/>
    </xf>
    <xf numFmtId="0" fontId="4" fillId="0" borderId="0" xfId="0" applyFont="1" applyFill="1" applyBorder="1" applyAlignment="1">
      <alignment/>
    </xf>
    <xf numFmtId="0" fontId="0" fillId="0" borderId="10" xfId="0" applyBorder="1" applyAlignment="1">
      <alignment horizontal="center"/>
    </xf>
    <xf numFmtId="0" fontId="3" fillId="0" borderId="0" xfId="0" applyFont="1" applyBorder="1" applyAlignment="1">
      <alignment/>
    </xf>
    <xf numFmtId="10" fontId="0" fillId="0" borderId="10" xfId="0" applyNumberFormat="1" applyBorder="1" applyAlignment="1">
      <alignment/>
    </xf>
    <xf numFmtId="0" fontId="4" fillId="0" borderId="10" xfId="0" applyFont="1" applyBorder="1" applyAlignment="1">
      <alignment/>
    </xf>
    <xf numFmtId="42" fontId="0" fillId="0" borderId="10" xfId="0" applyNumberFormat="1" applyBorder="1" applyAlignment="1">
      <alignment/>
    </xf>
    <xf numFmtId="0" fontId="0" fillId="0" borderId="11" xfId="0" applyBorder="1" applyAlignment="1">
      <alignment horizontal="center" wrapText="1"/>
    </xf>
    <xf numFmtId="42" fontId="0" fillId="0" borderId="11" xfId="0" applyNumberFormat="1" applyBorder="1" applyAlignment="1">
      <alignment horizontal="center" wrapText="1"/>
    </xf>
    <xf numFmtId="42" fontId="0" fillId="0" borderId="11" xfId="0" applyNumberFormat="1" applyFont="1" applyBorder="1" applyAlignment="1">
      <alignment horizontal="center" wrapText="1"/>
    </xf>
    <xf numFmtId="0" fontId="0" fillId="0" borderId="0" xfId="0" applyBorder="1" applyAlignment="1">
      <alignment horizontal="left"/>
    </xf>
    <xf numFmtId="3" fontId="0" fillId="0" borderId="0" xfId="0" applyNumberFormat="1" applyBorder="1" applyAlignment="1">
      <alignment horizontal="right" indent="2"/>
    </xf>
    <xf numFmtId="9" fontId="0" fillId="0" borderId="0" xfId="60" applyFont="1" applyBorder="1" applyAlignment="1">
      <alignment horizontal="right" indent="2"/>
    </xf>
    <xf numFmtId="0" fontId="3" fillId="0" borderId="10" xfId="0" applyFont="1" applyBorder="1" applyAlignment="1">
      <alignment/>
    </xf>
    <xf numFmtId="0" fontId="0" fillId="0" borderId="10" xfId="0" applyBorder="1" applyAlignment="1">
      <alignment horizontal="left"/>
    </xf>
    <xf numFmtId="9" fontId="0" fillId="0" borderId="10" xfId="60" applyFont="1" applyBorder="1" applyAlignment="1">
      <alignment horizontal="right" indent="2"/>
    </xf>
    <xf numFmtId="0" fontId="0" fillId="0" borderId="10" xfId="0" applyBorder="1" applyAlignment="1">
      <alignment horizontal="right" indent="2"/>
    </xf>
    <xf numFmtId="9" fontId="0" fillId="0" borderId="11" xfId="60" applyFont="1" applyBorder="1" applyAlignment="1">
      <alignment horizontal="right" indent="2"/>
    </xf>
    <xf numFmtId="3" fontId="0" fillId="0" borderId="11" xfId="0" applyNumberFormat="1" applyBorder="1" applyAlignment="1">
      <alignment horizontal="right" indent="2"/>
    </xf>
    <xf numFmtId="0" fontId="0" fillId="0" borderId="11" xfId="0" applyBorder="1" applyAlignment="1">
      <alignment horizontal="centerContinuous" wrapText="1"/>
    </xf>
    <xf numFmtId="0" fontId="0" fillId="0" borderId="0" xfId="0" applyBorder="1" applyAlignment="1">
      <alignment horizontal="centerContinuous" wrapText="1"/>
    </xf>
    <xf numFmtId="9" fontId="0" fillId="0" borderId="10" xfId="60" applyBorder="1" applyAlignment="1">
      <alignment horizontal="right" indent="2"/>
    </xf>
    <xf numFmtId="0" fontId="0" fillId="0" borderId="11" xfId="0" applyBorder="1" applyAlignment="1">
      <alignment horizontal="left"/>
    </xf>
    <xf numFmtId="0" fontId="0" fillId="0" borderId="0" xfId="0" applyBorder="1" applyAlignment="1">
      <alignment horizontal="center" wrapText="1"/>
    </xf>
    <xf numFmtId="42" fontId="0" fillId="0" borderId="0" xfId="0" applyNumberFormat="1" applyBorder="1" applyAlignment="1">
      <alignment horizontal="center" wrapText="1"/>
    </xf>
    <xf numFmtId="42" fontId="0" fillId="0" borderId="0" xfId="0" applyNumberFormat="1" applyFont="1" applyBorder="1" applyAlignment="1">
      <alignment horizontal="center" wrapText="1"/>
    </xf>
    <xf numFmtId="0" fontId="3" fillId="0" borderId="0" xfId="0" applyFont="1" applyAlignment="1" quotePrefix="1">
      <alignment horizontal="left"/>
    </xf>
    <xf numFmtId="0" fontId="3" fillId="0" borderId="0" xfId="0" applyFont="1" applyAlignment="1">
      <alignment horizontal="center"/>
    </xf>
    <xf numFmtId="42" fontId="0" fillId="0" borderId="0" xfId="0" applyNumberFormat="1" applyFont="1" applyAlignment="1">
      <alignment horizontal="center" wrapText="1"/>
    </xf>
    <xf numFmtId="0" fontId="0" fillId="0" borderId="0" xfId="0" applyFont="1" applyAlignment="1">
      <alignment horizontal="center" wrapText="1"/>
    </xf>
    <xf numFmtId="42" fontId="0" fillId="0" borderId="11" xfId="0" applyNumberFormat="1" applyFont="1" applyBorder="1" applyAlignment="1">
      <alignment horizontal="center" wrapText="1"/>
    </xf>
    <xf numFmtId="9" fontId="0" fillId="0" borderId="0" xfId="60" applyBorder="1" applyAlignment="1">
      <alignment horizontal="right" indent="2"/>
    </xf>
    <xf numFmtId="9" fontId="0" fillId="0" borderId="11" xfId="60" applyBorder="1" applyAlignment="1">
      <alignment horizontal="right" indent="2"/>
    </xf>
    <xf numFmtId="194" fontId="0" fillId="0" borderId="0" xfId="42" applyNumberFormat="1" applyFont="1" applyAlignment="1">
      <alignment/>
    </xf>
    <xf numFmtId="42" fontId="0" fillId="0" borderId="0" xfId="0" applyNumberFormat="1" applyFont="1" applyBorder="1" applyAlignment="1">
      <alignment horizontal="center" wrapText="1"/>
    </xf>
    <xf numFmtId="164" fontId="0" fillId="0" borderId="0" xfId="0" applyNumberFormat="1" applyAlignment="1">
      <alignment/>
    </xf>
    <xf numFmtId="9" fontId="0" fillId="0" borderId="0" xfId="60" applyFont="1" applyBorder="1" applyAlignment="1">
      <alignment/>
    </xf>
    <xf numFmtId="0" fontId="0" fillId="0" borderId="0" xfId="0" applyBorder="1" applyAlignment="1">
      <alignment horizontal="center" vertical="center" wrapText="1"/>
    </xf>
    <xf numFmtId="0" fontId="0" fillId="0" borderId="11" xfId="0" applyBorder="1" applyAlignment="1">
      <alignment horizontal="centerContinuous"/>
    </xf>
    <xf numFmtId="9" fontId="0" fillId="0" borderId="0" xfId="0" applyNumberFormat="1" applyAlignment="1">
      <alignment horizontal="right" indent="1"/>
    </xf>
    <xf numFmtId="3" fontId="0" fillId="0" borderId="0" xfId="42" applyNumberFormat="1" applyFont="1" applyAlignment="1">
      <alignment horizontal="right" indent="1"/>
    </xf>
    <xf numFmtId="1" fontId="0" fillId="0" borderId="0" xfId="0" applyNumberFormat="1" applyAlignment="1">
      <alignment horizontal="right" indent="1"/>
    </xf>
    <xf numFmtId="2" fontId="0" fillId="0" borderId="0" xfId="0" applyNumberFormat="1" applyAlignment="1">
      <alignment horizontal="right" indent="1"/>
    </xf>
    <xf numFmtId="167" fontId="0" fillId="0" borderId="0" xfId="0" applyNumberFormat="1" applyAlignment="1">
      <alignment horizontal="right" indent="1"/>
    </xf>
    <xf numFmtId="9" fontId="0" fillId="0" borderId="0" xfId="0" applyNumberFormat="1" applyFont="1" applyAlignment="1">
      <alignment horizontal="right" indent="1"/>
    </xf>
    <xf numFmtId="10" fontId="0" fillId="0" borderId="0" xfId="0" applyNumberFormat="1" applyAlignment="1">
      <alignment horizontal="right" indent="1"/>
    </xf>
    <xf numFmtId="0" fontId="0" fillId="0" borderId="0" xfId="0" applyAlignment="1">
      <alignment horizontal="left" indent="1"/>
    </xf>
    <xf numFmtId="0" fontId="0" fillId="0" borderId="0" xfId="0" applyFill="1" applyBorder="1" applyAlignment="1">
      <alignment horizontal="left"/>
    </xf>
    <xf numFmtId="0" fontId="0" fillId="0" borderId="0" xfId="0" applyFont="1" applyAlignment="1">
      <alignment/>
    </xf>
    <xf numFmtId="4" fontId="0" fillId="0" borderId="0" xfId="0" applyNumberFormat="1" applyAlignment="1">
      <alignment/>
    </xf>
    <xf numFmtId="181" fontId="0" fillId="0" borderId="0" xfId="0" applyNumberFormat="1" applyBorder="1" applyAlignment="1">
      <alignment horizontal="center"/>
    </xf>
    <xf numFmtId="165" fontId="0" fillId="0" borderId="0" xfId="0" applyNumberFormat="1" applyBorder="1" applyAlignment="1">
      <alignment horizontal="center"/>
    </xf>
    <xf numFmtId="0" fontId="0" fillId="0" borderId="10" xfId="0" applyFont="1" applyFill="1" applyBorder="1" applyAlignment="1">
      <alignment/>
    </xf>
    <xf numFmtId="0" fontId="24" fillId="0" borderId="10" xfId="0" applyFont="1" applyFill="1" applyBorder="1" applyAlignment="1">
      <alignment/>
    </xf>
    <xf numFmtId="0" fontId="0" fillId="0" borderId="10" xfId="0" applyFont="1" applyFill="1" applyBorder="1" applyAlignment="1">
      <alignment horizontal="center"/>
    </xf>
    <xf numFmtId="0" fontId="0" fillId="0" borderId="10" xfId="0" applyFont="1" applyBorder="1" applyAlignment="1">
      <alignment/>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Font="1" applyFill="1" applyAlignment="1">
      <alignment horizontal="center" wrapText="1"/>
    </xf>
    <xf numFmtId="0" fontId="0" fillId="0" borderId="0" xfId="0" applyFont="1" applyFill="1" applyBorder="1" applyAlignment="1">
      <alignment/>
    </xf>
    <xf numFmtId="3" fontId="0" fillId="0" borderId="0" xfId="0" applyNumberFormat="1" applyFont="1" applyFill="1" applyAlignment="1">
      <alignment horizontal="center" wrapText="1"/>
    </xf>
    <xf numFmtId="0" fontId="0" fillId="0" borderId="11" xfId="0" applyFont="1" applyFill="1" applyBorder="1" applyAlignment="1">
      <alignment horizontal="center" wrapText="1"/>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3" fontId="0" fillId="0" borderId="0" xfId="0" applyNumberFormat="1" applyFont="1" applyFill="1" applyBorder="1" applyAlignment="1">
      <alignment/>
    </xf>
    <xf numFmtId="1" fontId="0" fillId="0" borderId="0" xfId="0" applyNumberFormat="1" applyFont="1" applyFill="1" applyBorder="1" applyAlignment="1">
      <alignment horizontal="center"/>
    </xf>
    <xf numFmtId="3" fontId="0" fillId="0" borderId="0" xfId="0" applyNumberFormat="1" applyFont="1" applyAlignment="1">
      <alignment/>
    </xf>
    <xf numFmtId="3" fontId="0" fillId="0" borderId="0" xfId="0" applyNumberFormat="1" applyFont="1" applyFill="1" applyBorder="1" applyAlignment="1">
      <alignment horizontal="center"/>
    </xf>
    <xf numFmtId="3" fontId="0" fillId="0" borderId="0" xfId="0" applyNumberFormat="1" applyFont="1" applyFill="1" applyAlignment="1">
      <alignment/>
    </xf>
    <xf numFmtId="0" fontId="0" fillId="0" borderId="0" xfId="0" applyFont="1" applyFill="1" applyBorder="1" applyAlignment="1">
      <alignment horizontal="left" indent="1"/>
    </xf>
    <xf numFmtId="0" fontId="0" fillId="0" borderId="0" xfId="0" applyFont="1" applyFill="1" applyBorder="1" applyAlignment="1">
      <alignment/>
    </xf>
    <xf numFmtId="1" fontId="0" fillId="0" borderId="0" xfId="0" applyNumberFormat="1" applyFont="1" applyFill="1" applyAlignment="1">
      <alignment/>
    </xf>
    <xf numFmtId="3" fontId="0" fillId="0" borderId="0" xfId="60" applyNumberFormat="1" applyFont="1" applyFill="1" applyBorder="1" applyAlignment="1">
      <alignment horizontal="center"/>
    </xf>
    <xf numFmtId="0" fontId="0" fillId="0" borderId="0" xfId="0" applyFont="1" applyFill="1" applyAlignment="1">
      <alignment horizontal="center"/>
    </xf>
    <xf numFmtId="3" fontId="0" fillId="0" borderId="10" xfId="0" applyNumberFormat="1" applyFont="1" applyFill="1" applyBorder="1" applyAlignment="1">
      <alignment/>
    </xf>
    <xf numFmtId="0" fontId="0" fillId="0" borderId="10" xfId="0" applyNumberFormat="1" applyFont="1" applyFill="1" applyBorder="1" applyAlignment="1">
      <alignment horizontal="center"/>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9" fontId="0" fillId="0" borderId="0" xfId="60" applyFont="1" applyFill="1" applyBorder="1" applyAlignment="1">
      <alignment/>
    </xf>
    <xf numFmtId="0" fontId="0" fillId="0" borderId="0" xfId="0" applyAlignment="1" quotePrefix="1">
      <alignment/>
    </xf>
    <xf numFmtId="0" fontId="0" fillId="0" borderId="0" xfId="0" applyBorder="1" applyAlignment="1">
      <alignment horizontal="centerContinuous"/>
    </xf>
    <xf numFmtId="0" fontId="0" fillId="0" borderId="14" xfId="0" applyBorder="1" applyAlignment="1">
      <alignment horizontal="centerContinuous"/>
    </xf>
    <xf numFmtId="18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0" fontId="0" fillId="0" borderId="15" xfId="0" applyFont="1" applyFill="1" applyBorder="1" applyAlignment="1">
      <alignment horizontal="center" wrapText="1"/>
    </xf>
    <xf numFmtId="0" fontId="0" fillId="0" borderId="16" xfId="0" applyFont="1" applyFill="1" applyBorder="1" applyAlignment="1">
      <alignment horizontal="center"/>
    </xf>
    <xf numFmtId="0" fontId="0" fillId="0" borderId="16" xfId="0" applyBorder="1" applyAlignment="1">
      <alignment/>
    </xf>
    <xf numFmtId="0" fontId="0" fillId="0" borderId="15" xfId="0" applyBorder="1" applyAlignment="1">
      <alignment/>
    </xf>
    <xf numFmtId="181" fontId="0" fillId="0" borderId="0" xfId="0" applyNumberFormat="1" applyAlignment="1">
      <alignment horizontal="right" indent="1"/>
    </xf>
    <xf numFmtId="0" fontId="0" fillId="0" borderId="0" xfId="0" applyFont="1" applyAlignment="1">
      <alignment/>
    </xf>
    <xf numFmtId="184" fontId="0" fillId="0" borderId="0" xfId="0" applyNumberFormat="1" applyAlignment="1">
      <alignment horizontal="right" indent="1"/>
    </xf>
    <xf numFmtId="0" fontId="0" fillId="0" borderId="11" xfId="0" applyFont="1" applyBorder="1" applyAlignment="1">
      <alignment horizontal="centerContinuous" wrapText="1"/>
    </xf>
    <xf numFmtId="0" fontId="0" fillId="0" borderId="0" xfId="0" applyFont="1" applyFill="1" applyAlignment="1">
      <alignment/>
    </xf>
    <xf numFmtId="0" fontId="0" fillId="0" borderId="0" xfId="0" applyFont="1" applyFill="1" applyAlignment="1">
      <alignment horizontal="center" wrapText="1"/>
    </xf>
    <xf numFmtId="0" fontId="0" fillId="0" borderId="15" xfId="0" applyFont="1" applyFill="1" applyBorder="1" applyAlignment="1">
      <alignment horizontal="center" wrapText="1"/>
    </xf>
    <xf numFmtId="3" fontId="0" fillId="0" borderId="0" xfId="0" applyNumberFormat="1" applyFill="1" applyAlignment="1">
      <alignment horizontal="center"/>
    </xf>
    <xf numFmtId="0" fontId="0" fillId="0" borderId="11" xfId="0"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left" indent="1"/>
    </xf>
    <xf numFmtId="0" fontId="0" fillId="0" borderId="0" xfId="0" applyNumberFormat="1" applyFont="1" applyFill="1" applyBorder="1" applyAlignment="1">
      <alignment horizontal="center" wrapText="1"/>
    </xf>
    <xf numFmtId="201" fontId="0" fillId="0" borderId="0" xfId="0" applyNumberFormat="1" applyFont="1" applyFill="1" applyBorder="1" applyAlignment="1">
      <alignment horizontal="right" indent="2"/>
    </xf>
    <xf numFmtId="3" fontId="0" fillId="0" borderId="16" xfId="0" applyNumberFormat="1" applyBorder="1" applyAlignment="1">
      <alignment/>
    </xf>
    <xf numFmtId="3" fontId="0" fillId="0" borderId="16" xfId="0" applyNumberFormat="1" applyFont="1" applyFill="1" applyBorder="1" applyAlignment="1">
      <alignment horizontal="center"/>
    </xf>
    <xf numFmtId="3" fontId="0" fillId="0" borderId="10" xfId="0" applyNumberFormat="1" applyBorder="1" applyAlignment="1">
      <alignment/>
    </xf>
    <xf numFmtId="3" fontId="0" fillId="0" borderId="10"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xf>
    <xf numFmtId="1" fontId="0" fillId="0" borderId="0" xfId="0" applyNumberFormat="1"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38" fontId="0" fillId="0" borderId="0" xfId="0" applyNumberFormat="1" applyFont="1" applyFill="1" applyAlignment="1">
      <alignment horizontal="center"/>
    </xf>
    <xf numFmtId="0" fontId="0" fillId="0" borderId="16" xfId="0" applyFont="1" applyFill="1" applyBorder="1" applyAlignment="1">
      <alignment/>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Font="1" applyBorder="1" applyAlignment="1">
      <alignment horizontal="center" vertical="center"/>
    </xf>
    <xf numFmtId="3" fontId="0" fillId="0" borderId="0" xfId="0" applyNumberFormat="1" applyFont="1" applyAlignment="1">
      <alignment horizontal="center"/>
    </xf>
    <xf numFmtId="44" fontId="0" fillId="0" borderId="15" xfId="0" applyNumberFormat="1" applyBorder="1" applyAlignment="1">
      <alignment/>
    </xf>
    <xf numFmtId="44" fontId="0" fillId="0" borderId="0" xfId="0" applyNumberFormat="1" applyBorder="1" applyAlignment="1">
      <alignment/>
    </xf>
    <xf numFmtId="44" fontId="0" fillId="0" borderId="0" xfId="0" applyNumberFormat="1" applyBorder="1" applyAlignment="1">
      <alignment vertical="center"/>
    </xf>
    <xf numFmtId="44" fontId="0" fillId="0" borderId="10" xfId="0" applyNumberFormat="1" applyBorder="1" applyAlignment="1">
      <alignment/>
    </xf>
    <xf numFmtId="44"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left"/>
    </xf>
    <xf numFmtId="0" fontId="0" fillId="0" borderId="0" xfId="57" applyFont="1" applyBorder="1">
      <alignment/>
      <protection/>
    </xf>
    <xf numFmtId="0" fontId="24" fillId="0" borderId="0" xfId="57" applyFont="1" applyBorder="1">
      <alignment/>
      <protection/>
    </xf>
    <xf numFmtId="0" fontId="0" fillId="0" borderId="11" xfId="57" applyFont="1" applyBorder="1">
      <alignment/>
      <protection/>
    </xf>
    <xf numFmtId="2" fontId="0" fillId="0" borderId="0" xfId="57" applyNumberFormat="1" applyFont="1" applyBorder="1">
      <alignment/>
      <protection/>
    </xf>
    <xf numFmtId="2" fontId="24" fillId="0" borderId="0" xfId="57" applyNumberFormat="1" applyFont="1" applyBorder="1" applyAlignment="1">
      <alignment horizontal="right"/>
      <protection/>
    </xf>
    <xf numFmtId="164" fontId="24" fillId="0" borderId="0" xfId="57" applyNumberFormat="1" applyFont="1" applyBorder="1" applyAlignment="1">
      <alignment horizontal="right"/>
      <protection/>
    </xf>
    <xf numFmtId="2" fontId="24" fillId="0" borderId="0" xfId="57" applyNumberFormat="1" applyFont="1" applyBorder="1">
      <alignment/>
      <protection/>
    </xf>
    <xf numFmtId="0" fontId="0" fillId="0" borderId="0" xfId="57" applyFont="1" applyFill="1" applyBorder="1">
      <alignment/>
      <protection/>
    </xf>
    <xf numFmtId="0" fontId="24" fillId="0" borderId="0" xfId="57" applyFont="1" applyFill="1" applyBorder="1">
      <alignment/>
      <protection/>
    </xf>
    <xf numFmtId="0" fontId="4" fillId="0" borderId="0" xfId="0" applyFont="1" applyBorder="1" applyAlignment="1">
      <alignment/>
    </xf>
    <xf numFmtId="0" fontId="25" fillId="0" borderId="0" xfId="0" applyFont="1" applyBorder="1" applyAlignment="1">
      <alignment/>
    </xf>
    <xf numFmtId="3" fontId="0" fillId="0" borderId="0" xfId="0" applyNumberFormat="1" applyFont="1" applyBorder="1" applyAlignment="1">
      <alignment/>
    </xf>
    <xf numFmtId="167" fontId="0" fillId="0" borderId="0" xfId="60" applyNumberFormat="1" applyFont="1" applyBorder="1" applyAlignment="1">
      <alignment horizontal="left"/>
    </xf>
    <xf numFmtId="183" fontId="0" fillId="0" borderId="0" xfId="0" applyNumberFormat="1" applyBorder="1" applyAlignment="1">
      <alignment/>
    </xf>
    <xf numFmtId="194" fontId="0" fillId="0" borderId="0" xfId="42" applyNumberFormat="1" applyFont="1" applyBorder="1" applyAlignment="1">
      <alignment/>
    </xf>
    <xf numFmtId="3" fontId="0" fillId="0" borderId="0" xfId="0" applyNumberFormat="1" applyBorder="1" applyAlignment="1">
      <alignment/>
    </xf>
    <xf numFmtId="165" fontId="0" fillId="0" borderId="0" xfId="0" applyNumberFormat="1" applyFont="1" applyBorder="1" applyAlignment="1">
      <alignment/>
    </xf>
    <xf numFmtId="0" fontId="0" fillId="0" borderId="0" xfId="0" applyFont="1" applyBorder="1" applyAlignment="1">
      <alignment/>
    </xf>
    <xf numFmtId="4" fontId="0" fillId="0" borderId="0" xfId="0" applyNumberFormat="1" applyBorder="1" applyAlignment="1">
      <alignment horizontal="center"/>
    </xf>
    <xf numFmtId="3" fontId="0" fillId="0" borderId="0" xfId="42" applyNumberFormat="1" applyBorder="1" applyAlignment="1">
      <alignment horizontal="center"/>
    </xf>
    <xf numFmtId="0" fontId="0" fillId="0" borderId="0" xfId="0" applyFont="1" applyBorder="1" applyAlignment="1">
      <alignment horizontal="center"/>
    </xf>
    <xf numFmtId="2" fontId="0" fillId="0" borderId="0" xfId="0" applyNumberFormat="1" applyBorder="1" applyAlignment="1">
      <alignment/>
    </xf>
    <xf numFmtId="4"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NumberFormat="1" applyFont="1" applyBorder="1" applyAlignment="1">
      <alignment/>
    </xf>
    <xf numFmtId="4" fontId="0" fillId="0" borderId="0" xfId="0" applyNumberFormat="1" applyFont="1" applyBorder="1" applyAlignment="1">
      <alignment/>
    </xf>
    <xf numFmtId="1" fontId="0" fillId="0" borderId="0" xfId="0" applyNumberFormat="1" applyBorder="1" applyAlignment="1">
      <alignment/>
    </xf>
    <xf numFmtId="165" fontId="0" fillId="0" borderId="0" xfId="0" applyNumberFormat="1" applyBorder="1" applyAlignment="1">
      <alignment/>
    </xf>
    <xf numFmtId="164" fontId="0" fillId="0" borderId="0" xfId="0" applyNumberFormat="1" applyBorder="1" applyAlignment="1">
      <alignment/>
    </xf>
    <xf numFmtId="3" fontId="0" fillId="0" borderId="0" xfId="0" applyNumberFormat="1" applyFont="1" applyBorder="1" applyAlignment="1">
      <alignment horizontal="right"/>
    </xf>
    <xf numFmtId="183" fontId="0" fillId="0" borderId="0" xfId="0" applyNumberFormat="1" applyFont="1" applyBorder="1" applyAlignment="1">
      <alignment horizontal="right"/>
    </xf>
    <xf numFmtId="167" fontId="0" fillId="0" borderId="0" xfId="0" applyNumberFormat="1" applyFill="1" applyBorder="1" applyAlignment="1">
      <alignment/>
    </xf>
    <xf numFmtId="167" fontId="0" fillId="0" borderId="0" xfId="42" applyNumberFormat="1" applyFont="1" applyFill="1" applyBorder="1" applyAlignment="1">
      <alignment/>
    </xf>
    <xf numFmtId="0" fontId="0" fillId="0" borderId="0" xfId="57" applyFont="1" applyFill="1" applyBorder="1" applyAlignment="1">
      <alignment horizontal="right"/>
      <protection/>
    </xf>
    <xf numFmtId="2" fontId="0" fillId="0" borderId="0" xfId="57" applyNumberFormat="1" applyFont="1" applyFill="1" applyBorder="1">
      <alignment/>
      <protection/>
    </xf>
    <xf numFmtId="10" fontId="0" fillId="0" borderId="0" xfId="57" applyNumberFormat="1" applyFont="1" applyFill="1" applyBorder="1">
      <alignment/>
      <protection/>
    </xf>
    <xf numFmtId="0" fontId="26" fillId="0" borderId="0" xfId="57" applyFont="1" applyBorder="1">
      <alignment/>
      <protection/>
    </xf>
    <xf numFmtId="10" fontId="0" fillId="0" borderId="0" xfId="57" applyNumberFormat="1" applyFont="1" applyBorder="1">
      <alignment/>
      <protection/>
    </xf>
    <xf numFmtId="9" fontId="0" fillId="0" borderId="0" xfId="0" applyNumberFormat="1" applyBorder="1" applyAlignment="1">
      <alignment/>
    </xf>
    <xf numFmtId="0" fontId="0" fillId="0" borderId="0" xfId="57" applyFont="1" applyBorder="1" applyAlignment="1">
      <alignment vertical="top"/>
      <protection/>
    </xf>
    <xf numFmtId="0" fontId="24" fillId="0" borderId="0" xfId="57" applyFont="1" applyBorder="1" applyAlignment="1">
      <alignment vertical="top"/>
      <protection/>
    </xf>
    <xf numFmtId="0" fontId="0" fillId="0" borderId="0" xfId="57" applyFont="1" applyBorder="1" applyAlignment="1">
      <alignment horizontal="center" vertical="top"/>
      <protection/>
    </xf>
    <xf numFmtId="3" fontId="0" fillId="0" borderId="0" xfId="57" applyNumberFormat="1" applyFont="1" applyBorder="1">
      <alignment/>
      <protection/>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9" fontId="0" fillId="0" borderId="0" xfId="60" applyNumberFormat="1" applyAlignment="1">
      <alignment/>
    </xf>
    <xf numFmtId="9" fontId="0" fillId="0" borderId="0" xfId="60" applyNumberFormat="1" applyFill="1" applyAlignment="1">
      <alignment/>
    </xf>
    <xf numFmtId="2" fontId="0" fillId="0" borderId="0" xfId="57" applyNumberFormat="1" applyFont="1" applyBorder="1" applyAlignment="1">
      <alignment horizontal="center" vertical="top"/>
      <protection/>
    </xf>
    <xf numFmtId="0" fontId="0" fillId="0" borderId="0" xfId="57" applyFont="1" applyBorder="1" applyAlignment="1">
      <alignment horizontal="left"/>
      <protection/>
    </xf>
    <xf numFmtId="2" fontId="0" fillId="0" borderId="11" xfId="57" applyNumberFormat="1" applyFont="1" applyBorder="1">
      <alignment/>
      <protection/>
    </xf>
    <xf numFmtId="0" fontId="0" fillId="0" borderId="0" xfId="0" applyFont="1" applyBorder="1" applyAlignment="1">
      <alignment horizontal="right"/>
    </xf>
    <xf numFmtId="9" fontId="0" fillId="0" borderId="0" xfId="60" applyNumberFormat="1" applyFont="1" applyBorder="1" applyAlignment="1">
      <alignment/>
    </xf>
    <xf numFmtId="9" fontId="0" fillId="0" borderId="0" xfId="60" applyNumberFormat="1" applyFont="1" applyBorder="1" applyAlignment="1">
      <alignment horizontal="left"/>
    </xf>
    <xf numFmtId="0" fontId="0" fillId="0" borderId="0" xfId="0" applyFont="1" applyBorder="1" applyAlignment="1">
      <alignment horizontal="left"/>
    </xf>
    <xf numFmtId="9" fontId="0" fillId="0" borderId="0" xfId="60" applyBorder="1" applyAlignment="1">
      <alignment/>
    </xf>
    <xf numFmtId="4" fontId="0" fillId="0" borderId="0" xfId="0" applyNumberFormat="1" applyBorder="1" applyAlignment="1">
      <alignment horizontal="right" indent="2"/>
    </xf>
    <xf numFmtId="6" fontId="0" fillId="0" borderId="0" xfId="0" applyNumberFormat="1" applyBorder="1" applyAlignment="1">
      <alignment/>
    </xf>
    <xf numFmtId="3" fontId="0" fillId="0" borderId="0" xfId="0" applyNumberFormat="1" applyFont="1" applyFill="1" applyBorder="1" applyAlignment="1">
      <alignment horizontal="right" indent="1"/>
    </xf>
    <xf numFmtId="0" fontId="0" fillId="0" borderId="13" xfId="0" applyFont="1" applyFill="1" applyBorder="1" applyAlignment="1">
      <alignment horizontal="centerContinuous" wrapText="1"/>
    </xf>
    <xf numFmtId="0" fontId="0" fillId="0" borderId="13" xfId="0" applyFont="1" applyFill="1" applyBorder="1" applyAlignment="1">
      <alignment horizontal="centerContinuous"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Yangbo\LOCALS~1\Temp\Fuel%20Cost%20calcul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sheetName val="MIT 2003"/>
    </sheetNames>
    <sheetDataSet>
      <sheetData sheetId="1">
        <row r="8">
          <cell r="E8">
            <v>0.002</v>
          </cell>
        </row>
        <row r="9">
          <cell r="E9">
            <v>0.002</v>
          </cell>
        </row>
        <row r="10">
          <cell r="E10">
            <v>0.002</v>
          </cell>
        </row>
        <row r="11">
          <cell r="B11">
            <v>30</v>
          </cell>
        </row>
        <row r="12">
          <cell r="B12">
            <v>8</v>
          </cell>
        </row>
        <row r="13">
          <cell r="B13">
            <v>100</v>
          </cell>
        </row>
        <row r="14">
          <cell r="B14">
            <v>275</v>
          </cell>
        </row>
        <row r="15">
          <cell r="B15">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9"/>
  <sheetViews>
    <sheetView tabSelected="1" workbookViewId="0" topLeftCell="A1">
      <selection activeCell="A15" sqref="A15"/>
    </sheetView>
  </sheetViews>
  <sheetFormatPr defaultColWidth="9.140625" defaultRowHeight="12.75"/>
  <sheetData>
    <row r="2" ht="12.75">
      <c r="A2" t="s">
        <v>635</v>
      </c>
    </row>
    <row r="3" ht="12.75">
      <c r="A3" t="s">
        <v>636</v>
      </c>
    </row>
    <row r="5" ht="12.75">
      <c r="A5" t="s">
        <v>637</v>
      </c>
    </row>
    <row r="6" ht="12.75">
      <c r="A6" t="s">
        <v>638</v>
      </c>
    </row>
    <row r="7" ht="12.75">
      <c r="A7" t="s">
        <v>639</v>
      </c>
    </row>
    <row r="8" ht="12.75">
      <c r="A8" t="s">
        <v>640</v>
      </c>
    </row>
    <row r="9" ht="12.75">
      <c r="A9" t="s">
        <v>641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T114"/>
  <sheetViews>
    <sheetView zoomScalePageLayoutView="0" workbookViewId="0" topLeftCell="A46">
      <selection activeCell="H52" sqref="H52"/>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6" width="8.8515625" style="0" customWidth="1"/>
    <col min="7" max="7" width="3.8515625" style="0" customWidth="1"/>
    <col min="8" max="8" width="8.7109375" style="0" customWidth="1"/>
    <col min="9" max="9" width="16.28125" style="0" customWidth="1"/>
    <col min="10" max="10" width="3.8515625" style="0" customWidth="1"/>
    <col min="11" max="13" width="11.8515625" style="0" customWidth="1"/>
    <col min="14" max="14" width="2.8515625" style="0" customWidth="1"/>
    <col min="15" max="19" width="8.8515625" style="0" customWidth="1"/>
    <col min="20" max="20" width="13.421875" style="0" bestFit="1" customWidth="1"/>
    <col min="21" max="23" width="8.8515625" style="0" customWidth="1"/>
  </cols>
  <sheetData>
    <row r="1" ht="12.75">
      <c r="N1" s="20"/>
    </row>
    <row r="2" ht="12.75">
      <c r="N2" s="20"/>
    </row>
    <row r="3" spans="1:14" ht="16.5" thickBot="1">
      <c r="A3" s="9"/>
      <c r="B3" s="42" t="s">
        <v>313</v>
      </c>
      <c r="C3" s="75"/>
      <c r="D3" s="75"/>
      <c r="E3" s="9"/>
      <c r="F3" s="9"/>
      <c r="G3" s="9"/>
      <c r="H3" s="9"/>
      <c r="I3" s="9"/>
      <c r="J3" s="9"/>
      <c r="K3" s="9"/>
      <c r="L3" s="9"/>
      <c r="M3" s="9"/>
      <c r="N3" s="79"/>
    </row>
    <row r="4" spans="2:14" ht="15.75">
      <c r="B4" s="74"/>
      <c r="K4" s="27"/>
      <c r="N4" s="20"/>
    </row>
    <row r="5" spans="2:14" ht="38.25" customHeight="1">
      <c r="B5" s="74"/>
      <c r="H5" s="22"/>
      <c r="I5" s="22"/>
      <c r="K5" s="168" t="s">
        <v>408</v>
      </c>
      <c r="L5" s="92"/>
      <c r="M5" s="92"/>
      <c r="N5" s="20"/>
    </row>
    <row r="6" spans="2:14" ht="21" customHeight="1">
      <c r="B6" s="74"/>
      <c r="H6" s="22"/>
      <c r="I6" s="22"/>
      <c r="K6" s="93"/>
      <c r="L6" s="26" t="s">
        <v>26</v>
      </c>
      <c r="M6" s="93"/>
      <c r="N6" s="20"/>
    </row>
    <row r="7" spans="1:20" s="22" customFormat="1" ht="29.25" customHeight="1">
      <c r="A7" s="37"/>
      <c r="B7" s="74"/>
      <c r="C7" s="96" t="s">
        <v>72</v>
      </c>
      <c r="D7" s="96" t="s">
        <v>73</v>
      </c>
      <c r="E7" s="96"/>
      <c r="F7" s="96" t="s">
        <v>78</v>
      </c>
      <c r="G7" s="96"/>
      <c r="H7" s="97" t="s">
        <v>120</v>
      </c>
      <c r="I7" s="98" t="s">
        <v>409</v>
      </c>
      <c r="J7" s="96"/>
      <c r="K7" s="97" t="s">
        <v>121</v>
      </c>
      <c r="L7" s="98" t="s">
        <v>27</v>
      </c>
      <c r="M7" s="97" t="s">
        <v>111</v>
      </c>
      <c r="P7"/>
      <c r="Q7"/>
      <c r="R7"/>
      <c r="T7" s="19"/>
    </row>
    <row r="8" spans="1:18" s="22" customFormat="1" ht="12.75" customHeight="1">
      <c r="A8" s="17"/>
      <c r="B8" s="50"/>
      <c r="C8" s="80" t="s">
        <v>153</v>
      </c>
      <c r="D8" s="80" t="s">
        <v>154</v>
      </c>
      <c r="E8" s="80"/>
      <c r="F8" s="80" t="s">
        <v>155</v>
      </c>
      <c r="G8" s="80"/>
      <c r="H8" s="81" t="s">
        <v>156</v>
      </c>
      <c r="I8" s="81" t="s">
        <v>157</v>
      </c>
      <c r="J8" s="80"/>
      <c r="K8" s="81" t="s">
        <v>158</v>
      </c>
      <c r="L8" s="81" t="s">
        <v>159</v>
      </c>
      <c r="M8" s="81" t="s">
        <v>210</v>
      </c>
      <c r="N8" s="26"/>
      <c r="P8"/>
      <c r="Q8"/>
      <c r="R8"/>
    </row>
    <row r="9" spans="1:18" s="22" customFormat="1" ht="12.75" customHeight="1">
      <c r="A9" s="17"/>
      <c r="B9" s="50"/>
      <c r="H9" s="23"/>
      <c r="I9" s="23"/>
      <c r="K9" s="23"/>
      <c r="L9" s="23"/>
      <c r="M9" s="23"/>
      <c r="N9" s="26"/>
      <c r="P9"/>
      <c r="Q9"/>
      <c r="R9"/>
    </row>
    <row r="10" spans="2:14" ht="12.75">
      <c r="B10" s="46" t="s">
        <v>24</v>
      </c>
      <c r="C10" s="19">
        <v>-6</v>
      </c>
      <c r="D10" s="19">
        <v>2007</v>
      </c>
      <c r="F10" s="31">
        <f>1/(1+WACCnuc)^(C10)</f>
        <v>1.7734944906729897</v>
      </c>
      <c r="H10" s="30">
        <f>L59/('Ancillary Calculations'!H204*(1-Taxnuc))</f>
        <v>83.56308593407101</v>
      </c>
      <c r="I10" s="30"/>
      <c r="K10" s="30"/>
      <c r="N10" s="20"/>
    </row>
    <row r="11" spans="6:14" ht="19.5" customHeight="1">
      <c r="F11" s="31"/>
      <c r="H11" s="30"/>
      <c r="I11" s="30"/>
      <c r="K11" s="30"/>
      <c r="L11" s="30"/>
      <c r="M11" s="30"/>
      <c r="N11" s="20"/>
    </row>
    <row r="12" spans="2:17" ht="12.75">
      <c r="B12" s="46" t="s">
        <v>160</v>
      </c>
      <c r="C12" s="19">
        <v>-4</v>
      </c>
      <c r="D12" s="19">
        <v>2009</v>
      </c>
      <c r="F12" s="31">
        <f aca="true" t="shared" si="0" ref="F12:F56">1/(1+WACCnuc)^(C12)</f>
        <v>1.465165090435202</v>
      </c>
      <c r="H12" s="30">
        <f>H$10*'Escalation Factors'!E10</f>
        <v>88.65207786745593</v>
      </c>
      <c r="I12" s="30"/>
      <c r="K12" s="30"/>
      <c r="L12" s="30">
        <f>'Table 6C LCOE Nuclear Valuation'!L10</f>
        <v>590.6695848882282</v>
      </c>
      <c r="M12" s="30">
        <f aca="true" t="shared" si="1" ref="M12:M56">K12-L12</f>
        <v>-590.6695848882282</v>
      </c>
      <c r="N12" s="20"/>
      <c r="Q12" s="30"/>
    </row>
    <row r="13" spans="2:14" ht="12.75">
      <c r="B13" s="46" t="s">
        <v>161</v>
      </c>
      <c r="C13" s="19">
        <v>-3</v>
      </c>
      <c r="D13" s="19">
        <v>2010</v>
      </c>
      <c r="F13" s="31">
        <f t="shared" si="0"/>
        <v>1.3317261320080003</v>
      </c>
      <c r="H13" s="30">
        <f>H$10*'Escalation Factors'!E11</f>
        <v>91.31164020347961</v>
      </c>
      <c r="I13" s="30"/>
      <c r="K13" s="30"/>
      <c r="L13" s="30">
        <f>'Table 6C LCOE Nuclear Valuation'!L11</f>
        <v>1455.2131010507062</v>
      </c>
      <c r="M13" s="30">
        <f t="shared" si="1"/>
        <v>-1455.2131010507062</v>
      </c>
      <c r="N13" s="20"/>
    </row>
    <row r="14" spans="2:14" ht="12.75">
      <c r="B14" s="46" t="s">
        <v>162</v>
      </c>
      <c r="C14" s="19">
        <v>-2</v>
      </c>
      <c r="D14" s="19">
        <v>2011</v>
      </c>
      <c r="F14" s="31">
        <f t="shared" si="0"/>
        <v>1.2104400400000002</v>
      </c>
      <c r="H14" s="30">
        <f>H$10*'Escalation Factors'!E12</f>
        <v>94.05098940958399</v>
      </c>
      <c r="I14" s="30"/>
      <c r="K14" s="30"/>
      <c r="L14" s="30">
        <f>'Table 6C LCOE Nuclear Valuation'!L12</f>
        <v>1689.3275519559731</v>
      </c>
      <c r="M14" s="30">
        <f t="shared" si="1"/>
        <v>-1689.3275519559731</v>
      </c>
      <c r="N14" s="20"/>
    </row>
    <row r="15" spans="2:14" ht="12.75">
      <c r="B15" s="46" t="s">
        <v>163</v>
      </c>
      <c r="C15" s="19">
        <v>-1</v>
      </c>
      <c r="D15" s="19">
        <v>2012</v>
      </c>
      <c r="F15" s="31">
        <f t="shared" si="0"/>
        <v>1.1002</v>
      </c>
      <c r="H15" s="30">
        <f>H$10*'Escalation Factors'!E13</f>
        <v>96.87251909187151</v>
      </c>
      <c r="I15" s="30"/>
      <c r="K15" s="30"/>
      <c r="L15" s="30">
        <f>'Table 6C LCOE Nuclear Valuation'!L13</f>
        <v>1275.43333654486</v>
      </c>
      <c r="M15" s="30">
        <f t="shared" si="1"/>
        <v>-1275.43333654486</v>
      </c>
      <c r="N15" s="20"/>
    </row>
    <row r="16" spans="2:14" ht="12.75">
      <c r="B16" s="46" t="s">
        <v>164</v>
      </c>
      <c r="C16" s="19">
        <v>0</v>
      </c>
      <c r="D16" s="19">
        <v>2013</v>
      </c>
      <c r="F16" s="31">
        <f t="shared" si="0"/>
        <v>1</v>
      </c>
      <c r="H16" s="30">
        <f>H$10*'Escalation Factors'!E14</f>
        <v>99.77869466462766</v>
      </c>
      <c r="I16" s="30"/>
      <c r="K16" s="30"/>
      <c r="L16" s="30">
        <f>'Table 6C LCOE Nuclear Valuation'!L14</f>
        <v>453.73987268101996</v>
      </c>
      <c r="M16" s="30">
        <f t="shared" si="1"/>
        <v>-453.73987268101996</v>
      </c>
      <c r="N16" s="20"/>
    </row>
    <row r="17" spans="2:20" ht="12.75">
      <c r="B17" s="46" t="s">
        <v>165</v>
      </c>
      <c r="C17" s="19">
        <v>1</v>
      </c>
      <c r="D17" s="19">
        <v>2014</v>
      </c>
      <c r="F17" s="31">
        <f t="shared" si="0"/>
        <v>0.9089256498818397</v>
      </c>
      <c r="H17" s="30">
        <f>H$10*'Escalation Factors'!E15</f>
        <v>102.7720555045665</v>
      </c>
      <c r="I17" s="30">
        <f aca="true" t="shared" si="2" ref="I17:I56">(1-Taxnuc)*H17*CFnuc*Cnuc*8766/1000000</f>
        <v>482.43186354514745</v>
      </c>
      <c r="K17" s="30">
        <f>I17*F17</f>
        <v>438.49469509648014</v>
      </c>
      <c r="L17" s="30">
        <f>'Table 6C LCOE Nuclear Valuation'!L15</f>
        <v>37.18703023160169</v>
      </c>
      <c r="M17" s="30">
        <f t="shared" si="1"/>
        <v>401.30766486487846</v>
      </c>
      <c r="N17" s="20"/>
      <c r="T17" s="3"/>
    </row>
    <row r="18" spans="2:20" ht="12.75">
      <c r="B18" s="46" t="s">
        <v>166</v>
      </c>
      <c r="C18" s="19">
        <v>2</v>
      </c>
      <c r="D18" s="19">
        <v>2015</v>
      </c>
      <c r="F18" s="31">
        <f t="shared" si="0"/>
        <v>0.8261458370131245</v>
      </c>
      <c r="H18" s="30">
        <f>H$10*'Escalation Factors'!E16</f>
        <v>105.85521716970348</v>
      </c>
      <c r="I18" s="30">
        <f t="shared" si="2"/>
        <v>496.90481945150185</v>
      </c>
      <c r="K18" s="30">
        <f aca="true" t="shared" si="3" ref="K18:K56">I18*F18</f>
        <v>410.5158479816165</v>
      </c>
      <c r="L18" s="30">
        <f>'Table 6C LCOE Nuclear Valuation'!L16</f>
        <v>-24.62152001679141</v>
      </c>
      <c r="M18" s="30">
        <f t="shared" si="1"/>
        <v>435.1373679984079</v>
      </c>
      <c r="N18" s="20"/>
      <c r="T18" s="3"/>
    </row>
    <row r="19" spans="2:20" ht="12.75">
      <c r="B19" s="46" t="s">
        <v>167</v>
      </c>
      <c r="C19" s="19">
        <v>3</v>
      </c>
      <c r="D19" s="19">
        <v>2016</v>
      </c>
      <c r="F19" s="31">
        <f t="shared" si="0"/>
        <v>0.7509051418043305</v>
      </c>
      <c r="H19" s="30">
        <f>H$10*'Escalation Factors'!E17</f>
        <v>109.03087368479459</v>
      </c>
      <c r="I19" s="30">
        <f t="shared" si="2"/>
        <v>511.8119640350469</v>
      </c>
      <c r="K19" s="30">
        <f t="shared" si="3"/>
        <v>384.3222354308898</v>
      </c>
      <c r="L19" s="30">
        <f>'Table 6C LCOE Nuclear Valuation'!L17</f>
        <v>-7.156026153544608</v>
      </c>
      <c r="M19" s="30">
        <f t="shared" si="1"/>
        <v>391.4782615844344</v>
      </c>
      <c r="N19" s="20"/>
      <c r="T19" s="3"/>
    </row>
    <row r="20" spans="2:20" ht="12.75">
      <c r="B20" s="46" t="s">
        <v>168</v>
      </c>
      <c r="C20" s="19">
        <v>4</v>
      </c>
      <c r="D20" s="19">
        <v>2017</v>
      </c>
      <c r="F20" s="31">
        <f t="shared" si="0"/>
        <v>0.682516944014116</v>
      </c>
      <c r="H20" s="30">
        <f>H$10*'Escalation Factors'!E18</f>
        <v>112.30179989533842</v>
      </c>
      <c r="I20" s="30">
        <f t="shared" si="2"/>
        <v>527.1663229560983</v>
      </c>
      <c r="K20" s="30">
        <f t="shared" si="3"/>
        <v>359.7999477311547</v>
      </c>
      <c r="L20" s="30">
        <f>'Table 6C LCOE Nuclear Valuation'!L18</f>
        <v>6.304896037234751</v>
      </c>
      <c r="M20" s="30">
        <f t="shared" si="1"/>
        <v>353.49505169391995</v>
      </c>
      <c r="N20" s="20"/>
      <c r="T20" s="3"/>
    </row>
    <row r="21" spans="2:20" ht="12.75">
      <c r="B21" s="46" t="s">
        <v>169</v>
      </c>
      <c r="C21" s="19">
        <v>5</v>
      </c>
      <c r="D21" s="19">
        <v>2018</v>
      </c>
      <c r="F21" s="31">
        <f t="shared" si="0"/>
        <v>0.6203571568933975</v>
      </c>
      <c r="H21" s="30">
        <f>H$10*'Escalation Factors'!E19</f>
        <v>115.67085389219858</v>
      </c>
      <c r="I21" s="30">
        <f t="shared" si="2"/>
        <v>542.9813126447813</v>
      </c>
      <c r="K21" s="30">
        <f t="shared" si="3"/>
        <v>336.8423433585615</v>
      </c>
      <c r="L21" s="30">
        <f>'Table 6C LCOE Nuclear Valuation'!L19</f>
        <v>16.649846303724935</v>
      </c>
      <c r="M21" s="30">
        <f t="shared" si="1"/>
        <v>320.19249705483656</v>
      </c>
      <c r="N21" s="20"/>
      <c r="T21" s="3"/>
    </row>
    <row r="22" spans="2:20" ht="12.75">
      <c r="B22" t="s">
        <v>170</v>
      </c>
      <c r="C22" s="19">
        <v>6</v>
      </c>
      <c r="D22" s="19">
        <v>2019</v>
      </c>
      <c r="F22" s="31">
        <f t="shared" si="0"/>
        <v>0.5638585319881817</v>
      </c>
      <c r="H22" s="30">
        <f>H$10*'Escalation Factors'!E20</f>
        <v>119.14097950896452</v>
      </c>
      <c r="I22" s="30">
        <f t="shared" si="2"/>
        <v>559.2707520241246</v>
      </c>
      <c r="K22" s="30">
        <f t="shared" si="3"/>
        <v>315.3495852202493</v>
      </c>
      <c r="L22" s="30">
        <f>'Table 6C LCOE Nuclear Valuation'!L20</f>
        <v>24.498072703758762</v>
      </c>
      <c r="M22" s="30">
        <f t="shared" si="1"/>
        <v>290.8515125164906</v>
      </c>
      <c r="N22" s="20"/>
      <c r="T22" s="3"/>
    </row>
    <row r="23" spans="2:14" ht="12.75">
      <c r="B23" t="s">
        <v>171</v>
      </c>
      <c r="C23" s="19">
        <v>7</v>
      </c>
      <c r="D23" s="19">
        <v>2020</v>
      </c>
      <c r="F23" s="31">
        <f t="shared" si="0"/>
        <v>0.512505482628778</v>
      </c>
      <c r="H23" s="30">
        <f>H$10*'Escalation Factors'!E21</f>
        <v>122.71520889423346</v>
      </c>
      <c r="I23" s="30">
        <f t="shared" si="2"/>
        <v>576.0488745848485</v>
      </c>
      <c r="K23" s="30">
        <f t="shared" si="3"/>
        <v>295.2282064868722</v>
      </c>
      <c r="L23" s="30">
        <f>'Table 6C LCOE Nuclear Valuation'!L21</f>
        <v>27.710290538519125</v>
      </c>
      <c r="M23" s="30">
        <f t="shared" si="1"/>
        <v>267.51791594835305</v>
      </c>
      <c r="N23" s="20"/>
    </row>
    <row r="24" spans="2:14" ht="12.75">
      <c r="B24" t="s">
        <v>174</v>
      </c>
      <c r="C24" s="19">
        <v>8</v>
      </c>
      <c r="D24" s="19">
        <v>2021</v>
      </c>
      <c r="F24" s="31">
        <f t="shared" si="0"/>
        <v>0.46582937886636794</v>
      </c>
      <c r="H24" s="30">
        <f>H$10*'Escalation Factors'!E22</f>
        <v>126.39666516106047</v>
      </c>
      <c r="I24" s="30">
        <f t="shared" si="2"/>
        <v>593.330340822394</v>
      </c>
      <c r="K24" s="30">
        <f t="shared" si="3"/>
        <v>276.3907041278662</v>
      </c>
      <c r="L24" s="30">
        <f>'Table 6C LCOE Nuclear Valuation'!L22</f>
        <v>27.658928902210313</v>
      </c>
      <c r="M24" s="30">
        <f t="shared" si="1"/>
        <v>248.73177522565587</v>
      </c>
      <c r="N24" s="20"/>
    </row>
    <row r="25" spans="2:14" ht="12.75">
      <c r="B25" t="s">
        <v>174</v>
      </c>
      <c r="C25" s="19">
        <v>9</v>
      </c>
      <c r="D25" s="19">
        <v>2022</v>
      </c>
      <c r="F25" s="31">
        <f t="shared" si="0"/>
        <v>0.42340427092016714</v>
      </c>
      <c r="H25" s="30">
        <f>H$10*'Escalation Factors'!E23</f>
        <v>130.1885651158923</v>
      </c>
      <c r="I25" s="30">
        <f t="shared" si="2"/>
        <v>611.1302510470658</v>
      </c>
      <c r="K25" s="30">
        <f t="shared" si="3"/>
        <v>258.7551583818416</v>
      </c>
      <c r="L25" s="30">
        <f>'Table 6C LCOE Nuclear Valuation'!L23</f>
        <v>27.398300420144196</v>
      </c>
      <c r="M25" s="30">
        <f t="shared" si="1"/>
        <v>231.35685796169741</v>
      </c>
      <c r="N25" s="20"/>
    </row>
    <row r="26" spans="2:14" ht="12.75">
      <c r="B26" t="s">
        <v>124</v>
      </c>
      <c r="C26" s="19">
        <v>10</v>
      </c>
      <c r="D26" s="19">
        <v>2023</v>
      </c>
      <c r="F26" s="31">
        <f t="shared" si="0"/>
        <v>0.3848430021088594</v>
      </c>
      <c r="H26" s="30">
        <f>H$10*'Escalation Factors'!E24</f>
        <v>134.09422206936904</v>
      </c>
      <c r="I26" s="30">
        <f t="shared" si="2"/>
        <v>629.4641585784777</v>
      </c>
      <c r="K26" s="30">
        <f t="shared" si="3"/>
        <v>242.24487650726851</v>
      </c>
      <c r="L26" s="30">
        <f>'Table 6C LCOE Nuclear Valuation'!L24</f>
        <v>27.16108702360728</v>
      </c>
      <c r="M26" s="30">
        <f t="shared" si="1"/>
        <v>215.08378948366123</v>
      </c>
      <c r="N26" s="20"/>
    </row>
    <row r="27" spans="2:14" ht="12.75">
      <c r="B27" t="s">
        <v>221</v>
      </c>
      <c r="C27" s="19">
        <v>11</v>
      </c>
      <c r="D27" s="19">
        <v>2024</v>
      </c>
      <c r="F27" s="31">
        <f t="shared" si="0"/>
        <v>0.34979367579427323</v>
      </c>
      <c r="H27" s="30">
        <f>H$10*'Escalation Factors'!E25</f>
        <v>138.1170487314501</v>
      </c>
      <c r="I27" s="30">
        <f t="shared" si="2"/>
        <v>648.3480833358319</v>
      </c>
      <c r="K27" s="30">
        <f t="shared" si="3"/>
        <v>226.78805926421242</v>
      </c>
      <c r="L27" s="30">
        <f>'Table 6C LCOE Nuclear Valuation'!L25</f>
        <v>26.695867822275968</v>
      </c>
      <c r="M27" s="30">
        <f t="shared" si="1"/>
        <v>200.09219144193645</v>
      </c>
      <c r="N27" s="20"/>
    </row>
    <row r="28" spans="2:14" ht="12.75">
      <c r="B28" t="s">
        <v>251</v>
      </c>
      <c r="C28" s="19">
        <v>12</v>
      </c>
      <c r="D28" s="19">
        <v>2025</v>
      </c>
      <c r="F28" s="31">
        <f t="shared" si="0"/>
        <v>0.3179364440958673</v>
      </c>
      <c r="H28" s="30">
        <f>H$10*'Escalation Factors'!E26</f>
        <v>142.26056019339362</v>
      </c>
      <c r="I28" s="30">
        <f t="shared" si="2"/>
        <v>667.798525835907</v>
      </c>
      <c r="K28" s="30">
        <f t="shared" si="3"/>
        <v>212.31748867673042</v>
      </c>
      <c r="L28" s="30">
        <f>'Table 6C LCOE Nuclear Valuation'!L26</f>
        <v>26.26453677846166</v>
      </c>
      <c r="M28" s="30">
        <f t="shared" si="1"/>
        <v>186.05295189826876</v>
      </c>
      <c r="N28" s="20"/>
    </row>
    <row r="29" spans="2:14" ht="12.75">
      <c r="B29" t="s">
        <v>252</v>
      </c>
      <c r="C29" s="19">
        <v>13</v>
      </c>
      <c r="D29" s="19">
        <v>2026</v>
      </c>
      <c r="F29" s="31">
        <f t="shared" si="0"/>
        <v>0.2889805890709573</v>
      </c>
      <c r="H29" s="30">
        <f>H$10*'Escalation Factors'!E27</f>
        <v>146.52837699919542</v>
      </c>
      <c r="I29" s="30">
        <f t="shared" si="2"/>
        <v>687.8324816109841</v>
      </c>
      <c r="K29" s="30">
        <f t="shared" si="3"/>
        <v>198.7702357180806</v>
      </c>
      <c r="L29" s="30">
        <f>'Table 6C LCOE Nuclear Valuation'!L27</f>
        <v>25.658533772858572</v>
      </c>
      <c r="M29" s="30">
        <f t="shared" si="1"/>
        <v>173.11170194522205</v>
      </c>
      <c r="N29" s="20"/>
    </row>
    <row r="30" spans="2:14" ht="12.75">
      <c r="B30" t="s">
        <v>256</v>
      </c>
      <c r="C30" s="19">
        <v>14</v>
      </c>
      <c r="D30" s="19">
        <v>2027</v>
      </c>
      <c r="F30" s="31">
        <f t="shared" si="0"/>
        <v>0.2626618697245567</v>
      </c>
      <c r="H30" s="30">
        <f>H$10*'Escalation Factors'!E28</f>
        <v>150.92422830917127</v>
      </c>
      <c r="I30" s="30">
        <f t="shared" si="2"/>
        <v>708.4674560593137</v>
      </c>
      <c r="K30" s="30">
        <f t="shared" si="3"/>
        <v>186.08738664753955</v>
      </c>
      <c r="L30" s="30">
        <f>'Table 6C LCOE Nuclear Valuation'!L28</f>
        <v>25.093421468024733</v>
      </c>
      <c r="M30" s="30">
        <f t="shared" si="1"/>
        <v>160.99396517951482</v>
      </c>
      <c r="N30" s="20"/>
    </row>
    <row r="31" spans="2:14" ht="12.75">
      <c r="B31" t="s">
        <v>257</v>
      </c>
      <c r="C31" s="19">
        <v>15</v>
      </c>
      <c r="D31" s="19">
        <v>2028</v>
      </c>
      <c r="F31" s="31">
        <f t="shared" si="0"/>
        <v>0.23874011063857184</v>
      </c>
      <c r="H31" s="30">
        <f>H$10*'Escalation Factors'!E29</f>
        <v>155.4519551584464</v>
      </c>
      <c r="I31" s="30">
        <f t="shared" si="2"/>
        <v>729.7214797410929</v>
      </c>
      <c r="K31" s="30">
        <f t="shared" si="3"/>
        <v>174.21378680873087</v>
      </c>
      <c r="L31" s="30">
        <f>'Table 6C LCOE Nuclear Valuation'!L29</f>
        <v>24.39614576230655</v>
      </c>
      <c r="M31" s="30">
        <f t="shared" si="1"/>
        <v>149.8176410464243</v>
      </c>
      <c r="N31" s="20"/>
    </row>
    <row r="32" spans="2:14" ht="12.75">
      <c r="B32" t="s">
        <v>258</v>
      </c>
      <c r="C32" s="19">
        <v>16</v>
      </c>
      <c r="D32" s="19">
        <v>2029</v>
      </c>
      <c r="F32" s="31">
        <f t="shared" si="0"/>
        <v>0.21699701021502615</v>
      </c>
      <c r="H32" s="30">
        <f>H$10*'Escalation Factors'!E30</f>
        <v>160.1155138131998</v>
      </c>
      <c r="I32" s="30">
        <f t="shared" si="2"/>
        <v>751.6131241333259</v>
      </c>
      <c r="K32" s="30">
        <f t="shared" si="3"/>
        <v>163.09780077530704</v>
      </c>
      <c r="L32" s="30">
        <f>'Table 6C LCOE Nuclear Valuation'!L30</f>
        <v>34.413125833255776</v>
      </c>
      <c r="M32" s="30">
        <f t="shared" si="1"/>
        <v>128.68467494205126</v>
      </c>
      <c r="N32" s="20"/>
    </row>
    <row r="33" spans="2:14" ht="12.75">
      <c r="B33" t="s">
        <v>226</v>
      </c>
      <c r="C33" s="19">
        <v>17</v>
      </c>
      <c r="D33" s="19">
        <v>2030</v>
      </c>
      <c r="F33" s="31">
        <f t="shared" si="0"/>
        <v>0.19723414853210883</v>
      </c>
      <c r="H33" s="30">
        <f>H$10*'Escalation Factors'!E31</f>
        <v>164.9189792275958</v>
      </c>
      <c r="I33" s="30">
        <f t="shared" si="2"/>
        <v>774.1615178573255</v>
      </c>
      <c r="K33" s="30">
        <f t="shared" si="3"/>
        <v>152.69108780091457</v>
      </c>
      <c r="L33" s="30">
        <f>'Table 6C LCOE Nuclear Valuation'!L31</f>
        <v>42.4212049017995</v>
      </c>
      <c r="M33" s="30">
        <f t="shared" si="1"/>
        <v>110.26988289911507</v>
      </c>
      <c r="N33" s="20"/>
    </row>
    <row r="34" spans="2:14" ht="12.75">
      <c r="B34" t="s">
        <v>227</v>
      </c>
      <c r="C34" s="19">
        <v>18</v>
      </c>
      <c r="D34" s="19">
        <v>2031</v>
      </c>
      <c r="F34" s="31">
        <f t="shared" si="0"/>
        <v>0.1792711766334383</v>
      </c>
      <c r="H34" s="30">
        <f>H$10*'Escalation Factors'!E32</f>
        <v>169.86654860442366</v>
      </c>
      <c r="I34" s="30">
        <f t="shared" si="2"/>
        <v>797.3863633930453</v>
      </c>
      <c r="K34" s="30">
        <f t="shared" si="3"/>
        <v>142.94839159692964</v>
      </c>
      <c r="L34" s="30">
        <f>'Table 6C LCOE Nuclear Valuation'!L32</f>
        <v>39.918976797803055</v>
      </c>
      <c r="M34" s="30">
        <f t="shared" si="1"/>
        <v>103.02941479912658</v>
      </c>
      <c r="N34" s="20"/>
    </row>
    <row r="35" spans="2:14" ht="12.75">
      <c r="B35" t="s">
        <v>228</v>
      </c>
      <c r="C35" s="19">
        <v>19</v>
      </c>
      <c r="D35" s="19">
        <v>2032</v>
      </c>
      <c r="F35" s="31">
        <f t="shared" si="0"/>
        <v>0.16294417072662998</v>
      </c>
      <c r="H35" s="30">
        <f>H$10*'Escalation Factors'!E33</f>
        <v>174.96254506255636</v>
      </c>
      <c r="I35" s="30">
        <f t="shared" si="2"/>
        <v>821.3079542948366</v>
      </c>
      <c r="K35" s="30">
        <f t="shared" si="3"/>
        <v>133.82734352375707</v>
      </c>
      <c r="L35" s="30">
        <f>'Table 6C LCOE Nuclear Valuation'!L33</f>
        <v>37.565883805378185</v>
      </c>
      <c r="M35" s="30">
        <f t="shared" si="1"/>
        <v>96.26145971837889</v>
      </c>
      <c r="N35" s="20"/>
    </row>
    <row r="36" spans="2:14" ht="12.75">
      <c r="B36" t="s">
        <v>229</v>
      </c>
      <c r="C36" s="19">
        <v>20</v>
      </c>
      <c r="D36" s="19">
        <v>2033</v>
      </c>
      <c r="F36" s="31">
        <f t="shared" si="0"/>
        <v>0.14810413627215957</v>
      </c>
      <c r="H36" s="30">
        <f>H$10*'Escalation Factors'!E34</f>
        <v>180.2114214144331</v>
      </c>
      <c r="I36" s="30">
        <f t="shared" si="2"/>
        <v>845.947192923682</v>
      </c>
      <c r="K36" s="30">
        <f t="shared" si="3"/>
        <v>125.28827833981985</v>
      </c>
      <c r="L36" s="30">
        <f>'Table 6C LCOE Nuclear Valuation'!L34</f>
        <v>35.35291735832048</v>
      </c>
      <c r="M36" s="30">
        <f t="shared" si="1"/>
        <v>89.93536098149937</v>
      </c>
      <c r="N36" s="20"/>
    </row>
    <row r="37" spans="2:14" ht="12.75">
      <c r="B37" t="s">
        <v>230</v>
      </c>
      <c r="C37" s="19">
        <v>21</v>
      </c>
      <c r="D37" s="19">
        <v>2034</v>
      </c>
      <c r="F37" s="31">
        <f t="shared" si="0"/>
        <v>0.13461564831136116</v>
      </c>
      <c r="H37" s="30">
        <f>H$10*'Escalation Factors'!E35</f>
        <v>185.61776405686604</v>
      </c>
      <c r="I37" s="30">
        <f t="shared" si="2"/>
        <v>871.325608711392</v>
      </c>
      <c r="K37" s="30">
        <f t="shared" si="3"/>
        <v>117.29406170697543</v>
      </c>
      <c r="L37" s="30">
        <f>'Table 6C LCOE Nuclear Valuation'!L35</f>
        <v>33.271622656090884</v>
      </c>
      <c r="M37" s="30">
        <f t="shared" si="1"/>
        <v>84.02243905088454</v>
      </c>
      <c r="N37" s="20"/>
    </row>
    <row r="38" spans="2:14" ht="12.75">
      <c r="B38" t="s">
        <v>231</v>
      </c>
      <c r="C38" s="19">
        <v>22</v>
      </c>
      <c r="D38" s="19">
        <v>2035</v>
      </c>
      <c r="F38" s="31">
        <f t="shared" si="0"/>
        <v>0.1223556156256691</v>
      </c>
      <c r="H38" s="30">
        <f>H$10*'Escalation Factors'!E36</f>
        <v>191.18629697857202</v>
      </c>
      <c r="I38" s="30">
        <f t="shared" si="2"/>
        <v>897.465376972734</v>
      </c>
      <c r="K38" s="30">
        <f t="shared" si="3"/>
        <v>109.80992870222207</v>
      </c>
      <c r="L38" s="30">
        <f>'Table 6C LCOE Nuclear Valuation'!L36</f>
        <v>31.314063841569023</v>
      </c>
      <c r="M38" s="30">
        <f t="shared" si="1"/>
        <v>78.49586486065304</v>
      </c>
      <c r="N38" s="20"/>
    </row>
    <row r="39" spans="2:14" ht="12.75">
      <c r="B39" t="s">
        <v>232</v>
      </c>
      <c r="C39" s="19">
        <v>23</v>
      </c>
      <c r="D39" s="19">
        <v>2036</v>
      </c>
      <c r="F39" s="31">
        <f t="shared" si="0"/>
        <v>0.11121215744925388</v>
      </c>
      <c r="H39" s="30">
        <f>H$10*'Escalation Factors'!E37</f>
        <v>196.92188588792916</v>
      </c>
      <c r="I39" s="30">
        <f t="shared" si="2"/>
        <v>924.3893382819158</v>
      </c>
      <c r="K39" s="30">
        <f t="shared" si="3"/>
        <v>102.80333263342003</v>
      </c>
      <c r="L39" s="30">
        <f>'Table 6C LCOE Nuclear Valuation'!L37</f>
        <v>29.472791432635606</v>
      </c>
      <c r="M39" s="30">
        <f t="shared" si="1"/>
        <v>73.33054120078442</v>
      </c>
      <c r="N39" s="20"/>
    </row>
    <row r="40" spans="2:14" ht="12.75">
      <c r="B40" t="s">
        <v>233</v>
      </c>
      <c r="C40" s="19">
        <v>24</v>
      </c>
      <c r="D40" s="19">
        <v>2037</v>
      </c>
      <c r="F40" s="31">
        <f t="shared" si="0"/>
        <v>0.10108358248432453</v>
      </c>
      <c r="H40" s="30">
        <f>H$10*'Escalation Factors'!E38</f>
        <v>202.82954246456706</v>
      </c>
      <c r="I40" s="30">
        <f t="shared" si="2"/>
        <v>952.1210184303733</v>
      </c>
      <c r="K40" s="30">
        <f t="shared" si="3"/>
        <v>96.24380350156571</v>
      </c>
      <c r="L40" s="30">
        <f>'Table 6C LCOE Nuclear Valuation'!L38</f>
        <v>27.74081185646751</v>
      </c>
      <c r="M40" s="30">
        <f t="shared" si="1"/>
        <v>68.5029916450982</v>
      </c>
      <c r="N40" s="20"/>
    </row>
    <row r="41" spans="2:14" ht="12.75">
      <c r="B41" t="s">
        <v>234</v>
      </c>
      <c r="C41" s="19">
        <v>25</v>
      </c>
      <c r="D41" s="19">
        <v>2038</v>
      </c>
      <c r="F41" s="31">
        <f t="shared" si="0"/>
        <v>0.09187746090194922</v>
      </c>
      <c r="H41" s="30">
        <f>H$10*'Escalation Factors'!E39</f>
        <v>208.91442873850409</v>
      </c>
      <c r="I41" s="30">
        <f t="shared" si="2"/>
        <v>980.6846489832845</v>
      </c>
      <c r="K41" s="30">
        <f t="shared" si="3"/>
        <v>90.10281549410352</v>
      </c>
      <c r="L41" s="30">
        <f>'Table 6C LCOE Nuclear Valuation'!L39</f>
        <v>26.111558945983706</v>
      </c>
      <c r="M41" s="30">
        <f t="shared" si="1"/>
        <v>63.99125654811982</v>
      </c>
      <c r="N41" s="20"/>
    </row>
    <row r="42" spans="2:14" ht="12.75">
      <c r="B42" t="s">
        <v>235</v>
      </c>
      <c r="C42" s="19">
        <v>26</v>
      </c>
      <c r="D42" s="19">
        <v>2039</v>
      </c>
      <c r="F42" s="31">
        <f t="shared" si="0"/>
        <v>0.0835097808597975</v>
      </c>
      <c r="H42" s="30">
        <f>H$10*'Escalation Factors'!E40</f>
        <v>215.18186160065918</v>
      </c>
      <c r="I42" s="30">
        <f t="shared" si="2"/>
        <v>1010.1051884527831</v>
      </c>
      <c r="K42" s="30">
        <f t="shared" si="3"/>
        <v>84.35366293303638</v>
      </c>
      <c r="L42" s="30">
        <f>'Table 6C LCOE Nuclear Valuation'!L40</f>
        <v>24.57886726766405</v>
      </c>
      <c r="M42" s="30">
        <f t="shared" si="1"/>
        <v>59.774795665372324</v>
      </c>
      <c r="N42" s="20"/>
    </row>
    <row r="43" spans="2:14" ht="12.75">
      <c r="B43" t="s">
        <v>236</v>
      </c>
      <c r="C43" s="19">
        <v>27</v>
      </c>
      <c r="D43" s="19">
        <v>2040</v>
      </c>
      <c r="F43" s="31">
        <f t="shared" si="0"/>
        <v>0.07590418183948146</v>
      </c>
      <c r="H43" s="30">
        <f>H$10*'Escalation Factors'!E41</f>
        <v>221.63731744867897</v>
      </c>
      <c r="I43" s="30">
        <f t="shared" si="2"/>
        <v>1040.4083441063667</v>
      </c>
      <c r="K43" s="30">
        <f t="shared" si="3"/>
        <v>78.97134413836345</v>
      </c>
      <c r="L43" s="30">
        <f>'Table 6C LCOE Nuclear Valuation'!L41</f>
        <v>23.136947159035635</v>
      </c>
      <c r="M43" s="30">
        <f t="shared" si="1"/>
        <v>55.83439697932781</v>
      </c>
      <c r="N43" s="20"/>
    </row>
    <row r="44" spans="2:14" ht="12.75">
      <c r="B44" t="s">
        <v>237</v>
      </c>
      <c r="C44" s="19">
        <v>28</v>
      </c>
      <c r="D44" s="19">
        <v>2041</v>
      </c>
      <c r="F44" s="31">
        <f t="shared" si="0"/>
        <v>0.0689912578072</v>
      </c>
      <c r="H44" s="30">
        <f>H$10*'Escalation Factors'!E42</f>
        <v>228.28643697213928</v>
      </c>
      <c r="I44" s="30">
        <f t="shared" si="2"/>
        <v>1071.6205944295573</v>
      </c>
      <c r="K44" s="30">
        <f t="shared" si="3"/>
        <v>73.9324527017945</v>
      </c>
      <c r="L44" s="30">
        <f>'Table 6C LCOE Nuclear Valuation'!L42</f>
        <v>21.780361362535853</v>
      </c>
      <c r="M44" s="30">
        <f t="shared" si="1"/>
        <v>52.15209133925865</v>
      </c>
      <c r="N44" s="20"/>
    </row>
    <row r="45" spans="2:14" ht="12.75">
      <c r="B45" t="s">
        <v>238</v>
      </c>
      <c r="C45" s="19">
        <v>29</v>
      </c>
      <c r="D45" s="19">
        <v>2042</v>
      </c>
      <c r="F45" s="31">
        <f t="shared" si="0"/>
        <v>0.0627079238385748</v>
      </c>
      <c r="H45" s="30">
        <f>H$10*'Escalation Factors'!E43</f>
        <v>235.1350300813035</v>
      </c>
      <c r="I45" s="30">
        <f t="shared" si="2"/>
        <v>1103.7692122624442</v>
      </c>
      <c r="K45" s="30">
        <f t="shared" si="3"/>
        <v>69.21507569791706</v>
      </c>
      <c r="L45" s="30">
        <f>'Table 6C LCOE Nuclear Valuation'!L43</f>
        <v>20.50400315026912</v>
      </c>
      <c r="M45" s="30">
        <f t="shared" si="1"/>
        <v>48.71107254764794</v>
      </c>
      <c r="N45" s="20"/>
    </row>
    <row r="46" spans="2:14" ht="12.75">
      <c r="B46" t="s">
        <v>239</v>
      </c>
      <c r="C46" s="19">
        <v>30</v>
      </c>
      <c r="D46" s="19">
        <v>2043</v>
      </c>
      <c r="F46" s="31">
        <f t="shared" si="0"/>
        <v>0.0569968404277175</v>
      </c>
      <c r="H46" s="30">
        <f>H$10*'Escalation Factors'!E44</f>
        <v>242.1890809837426</v>
      </c>
      <c r="I46" s="30">
        <f t="shared" si="2"/>
        <v>1136.8822886303176</v>
      </c>
      <c r="K46" s="30">
        <f t="shared" si="3"/>
        <v>64.79869839016048</v>
      </c>
      <c r="L46" s="30">
        <f>'Table 6C LCOE Nuclear Valuation'!L44</f>
        <v>19.303075841418888</v>
      </c>
      <c r="M46" s="30">
        <f t="shared" si="1"/>
        <v>45.49562254874159</v>
      </c>
      <c r="N46" s="20"/>
    </row>
    <row r="47" spans="2:14" ht="12.75">
      <c r="B47" t="s">
        <v>240</v>
      </c>
      <c r="C47" s="19">
        <v>31</v>
      </c>
      <c r="D47" s="19">
        <v>2044</v>
      </c>
      <c r="F47" s="31">
        <f t="shared" si="0"/>
        <v>0.05180589022697465</v>
      </c>
      <c r="H47" s="30">
        <f>H$10*'Escalation Factors'!E45</f>
        <v>249.45475341325485</v>
      </c>
      <c r="I47" s="30">
        <f t="shared" si="2"/>
        <v>1170.988757289227</v>
      </c>
      <c r="K47" s="30">
        <f t="shared" si="3"/>
        <v>60.66411501714715</v>
      </c>
      <c r="L47" s="30">
        <f>'Table 6C LCOE Nuclear Valuation'!L45</f>
        <v>18.17307362080302</v>
      </c>
      <c r="M47" s="30">
        <f t="shared" si="1"/>
        <v>42.49104139634413</v>
      </c>
      <c r="N47" s="20"/>
    </row>
    <row r="48" spans="2:14" ht="12.75">
      <c r="B48" t="s">
        <v>241</v>
      </c>
      <c r="C48" s="19">
        <v>32</v>
      </c>
      <c r="D48" s="19">
        <v>2045</v>
      </c>
      <c r="F48" s="31">
        <f t="shared" si="0"/>
        <v>0.04708770244226017</v>
      </c>
      <c r="H48" s="30">
        <f>H$10*'Escalation Factors'!E46</f>
        <v>256.9383960156525</v>
      </c>
      <c r="I48" s="30">
        <f t="shared" si="2"/>
        <v>1206.1184200079035</v>
      </c>
      <c r="K48" s="30">
        <f t="shared" si="3"/>
        <v>56.793345271461135</v>
      </c>
      <c r="L48" s="30">
        <f>'Table 6C LCOE Nuclear Valuation'!L46</f>
        <v>17.10976357330517</v>
      </c>
      <c r="M48" s="30">
        <f t="shared" si="1"/>
        <v>39.68358169815596</v>
      </c>
      <c r="N48" s="20"/>
    </row>
    <row r="49" spans="2:14" ht="12.75">
      <c r="B49" t="s">
        <v>242</v>
      </c>
      <c r="C49" s="19">
        <v>33</v>
      </c>
      <c r="D49" s="19">
        <v>2046</v>
      </c>
      <c r="F49" s="31">
        <f t="shared" si="0"/>
        <v>0.04279922054377401</v>
      </c>
      <c r="H49" s="30">
        <f>H$10*'Escalation Factors'!E47</f>
        <v>264.6465478961221</v>
      </c>
      <c r="I49" s="30">
        <f t="shared" si="2"/>
        <v>1242.301972608141</v>
      </c>
      <c r="K49" s="30">
        <f t="shared" si="3"/>
        <v>53.16955610762133</v>
      </c>
      <c r="L49" s="30">
        <f>'Table 6C LCOE Nuclear Valuation'!L47</f>
        <v>16.10916885471587</v>
      </c>
      <c r="M49" s="30">
        <f t="shared" si="1"/>
        <v>37.060387252905464</v>
      </c>
      <c r="N49" s="20"/>
    </row>
    <row r="50" spans="2:14" ht="12.75">
      <c r="B50" t="s">
        <v>243</v>
      </c>
      <c r="C50" s="19">
        <v>34</v>
      </c>
      <c r="D50" s="19">
        <v>2047</v>
      </c>
      <c r="F50" s="31">
        <f t="shared" si="0"/>
        <v>0.038901309347185976</v>
      </c>
      <c r="H50" s="30">
        <f>H$10*'Escalation Factors'!E48</f>
        <v>272.5859443330057</v>
      </c>
      <c r="I50" s="30">
        <f t="shared" si="2"/>
        <v>1279.5710317863852</v>
      </c>
      <c r="K50" s="30">
        <f t="shared" si="3"/>
        <v>49.77698853922011</v>
      </c>
      <c r="L50" s="30">
        <f>'Table 6C LCOE Nuclear Valuation'!L48</f>
        <v>15.167552924905342</v>
      </c>
      <c r="M50" s="30">
        <f t="shared" si="1"/>
        <v>34.60943561431477</v>
      </c>
      <c r="N50" s="20"/>
    </row>
    <row r="51" spans="2:14" ht="12.75">
      <c r="B51" t="s">
        <v>244</v>
      </c>
      <c r="C51" s="19">
        <v>35</v>
      </c>
      <c r="D51" s="19">
        <v>2048</v>
      </c>
      <c r="F51" s="31">
        <f t="shared" si="0"/>
        <v>0.035358397879645495</v>
      </c>
      <c r="H51" s="30">
        <f>H$10*'Escalation Factors'!E49</f>
        <v>280.7635226629959</v>
      </c>
      <c r="I51" s="30">
        <f t="shared" si="2"/>
        <v>1317.9581627399766</v>
      </c>
      <c r="K51" s="30">
        <f t="shared" si="3"/>
        <v>46.60088910688666</v>
      </c>
      <c r="L51" s="30">
        <f>'Table 6C LCOE Nuclear Valuation'!L49</f>
        <v>14.281404774258379</v>
      </c>
      <c r="M51" s="30">
        <f t="shared" si="1"/>
        <v>32.319484332628285</v>
      </c>
      <c r="N51" s="20"/>
    </row>
    <row r="52" spans="2:14" ht="12.75">
      <c r="B52" t="s">
        <v>245</v>
      </c>
      <c r="C52" s="19">
        <v>36</v>
      </c>
      <c r="D52" s="19">
        <v>2049</v>
      </c>
      <c r="F52" s="31">
        <f t="shared" si="0"/>
        <v>0.03213815477153744</v>
      </c>
      <c r="H52" s="30">
        <f>H$10*'Escalation Factors'!E50</f>
        <v>289.1864283428858</v>
      </c>
      <c r="I52" s="30">
        <f t="shared" si="2"/>
        <v>1357.4969076221762</v>
      </c>
      <c r="K52" s="30">
        <f t="shared" si="3"/>
        <v>43.627445719044964</v>
      </c>
      <c r="L52" s="30">
        <f>'Table 6C LCOE Nuclear Valuation'!L50</f>
        <v>13.44742507895599</v>
      </c>
      <c r="M52" s="30">
        <f t="shared" si="1"/>
        <v>30.180020640088976</v>
      </c>
      <c r="N52" s="20"/>
    </row>
    <row r="53" spans="2:14" ht="12.75">
      <c r="B53" t="s">
        <v>246</v>
      </c>
      <c r="C53" s="19">
        <v>37</v>
      </c>
      <c r="D53" s="19">
        <v>2050</v>
      </c>
      <c r="F53" s="31">
        <f t="shared" si="0"/>
        <v>0.029211193211722813</v>
      </c>
      <c r="H53" s="30">
        <f>H$10*'Escalation Factors'!E51</f>
        <v>297.8620211931724</v>
      </c>
      <c r="I53" s="30">
        <f t="shared" si="2"/>
        <v>1398.2218148508414</v>
      </c>
      <c r="K53" s="30">
        <f t="shared" si="3"/>
        <v>40.843727586453646</v>
      </c>
      <c r="L53" s="30">
        <f>'Table 6C LCOE Nuclear Valuation'!L51</f>
        <v>12.66251322501699</v>
      </c>
      <c r="M53" s="30">
        <f t="shared" si="1"/>
        <v>28.181214361436655</v>
      </c>
      <c r="N53" s="20"/>
    </row>
    <row r="54" spans="2:14" ht="12.75">
      <c r="B54" t="s">
        <v>247</v>
      </c>
      <c r="C54" s="19">
        <v>38</v>
      </c>
      <c r="D54" s="19">
        <v>2051</v>
      </c>
      <c r="F54" s="31">
        <f t="shared" si="0"/>
        <v>0.026550802773789135</v>
      </c>
      <c r="H54" s="30">
        <f>H$10*'Escalation Factors'!E52</f>
        <v>306.7978818289675</v>
      </c>
      <c r="I54" s="30">
        <f t="shared" si="2"/>
        <v>1440.1684692963663</v>
      </c>
      <c r="K54" s="30">
        <f t="shared" si="3"/>
        <v>38.237628989317614</v>
      </c>
      <c r="L54" s="30">
        <f>'Table 6C LCOE Nuclear Valuation'!L52</f>
        <v>11.92375514503744</v>
      </c>
      <c r="M54" s="30">
        <f t="shared" si="1"/>
        <v>26.313873844280174</v>
      </c>
      <c r="N54" s="20"/>
    </row>
    <row r="55" spans="2:14" ht="12.75">
      <c r="B55" t="s">
        <v>248</v>
      </c>
      <c r="C55" s="19">
        <v>39</v>
      </c>
      <c r="D55" s="19">
        <v>2052</v>
      </c>
      <c r="F55" s="31">
        <f t="shared" si="0"/>
        <v>0.02413270566605084</v>
      </c>
      <c r="H55" s="30">
        <f>H$10*'Escalation Factors'!E53</f>
        <v>316.00181828383654</v>
      </c>
      <c r="I55" s="30">
        <f t="shared" si="2"/>
        <v>1483.3735233752575</v>
      </c>
      <c r="K55" s="30">
        <f t="shared" si="3"/>
        <v>35.797816632427875</v>
      </c>
      <c r="L55" s="30">
        <f>'Table 6C LCOE Nuclear Valuation'!L53</f>
        <v>11.228411915310282</v>
      </c>
      <c r="M55" s="30">
        <f t="shared" si="1"/>
        <v>24.569404717117592</v>
      </c>
      <c r="N55" s="20"/>
    </row>
    <row r="56" spans="2:14" ht="12.75">
      <c r="B56" t="s">
        <v>249</v>
      </c>
      <c r="C56" s="19">
        <v>40</v>
      </c>
      <c r="D56" s="19">
        <v>2053</v>
      </c>
      <c r="F56" s="31">
        <f t="shared" si="0"/>
        <v>0.021934835180922412</v>
      </c>
      <c r="H56" s="30">
        <f>H$10*'Escalation Factors'!E54</f>
        <v>325.4818728323516</v>
      </c>
      <c r="I56" s="30">
        <f t="shared" si="2"/>
        <v>1527.8747290765152</v>
      </c>
      <c r="K56" s="30">
        <f t="shared" si="3"/>
        <v>33.513680359389845</v>
      </c>
      <c r="L56" s="30">
        <f>'Table 6C LCOE Nuclear Valuation'!L54</f>
        <v>48.251688665635804</v>
      </c>
      <c r="M56" s="30">
        <f t="shared" si="1"/>
        <v>-14.738008306245959</v>
      </c>
      <c r="N56" s="37"/>
    </row>
    <row r="57" spans="2:14" ht="12.75">
      <c r="B57" s="15"/>
      <c r="C57" s="11"/>
      <c r="D57" s="11"/>
      <c r="E57" s="12"/>
      <c r="F57" s="12"/>
      <c r="G57" s="12"/>
      <c r="H57" s="12"/>
      <c r="I57" s="30">
        <f>(1-'Table 5 LCOE inputs'!G$24)*H57*CFnuc*Cnuc*8766/1000000</f>
        <v>0</v>
      </c>
      <c r="J57" s="12"/>
      <c r="K57" s="12"/>
      <c r="L57" s="12"/>
      <c r="M57" s="12"/>
      <c r="N57" s="37"/>
    </row>
    <row r="58" spans="2:14" ht="12.75">
      <c r="B58" s="46"/>
      <c r="I58" s="163"/>
      <c r="N58" s="37"/>
    </row>
    <row r="59" spans="2:14" ht="12.75">
      <c r="B59" s="166" t="s">
        <v>250</v>
      </c>
      <c r="C59" s="199" t="s">
        <v>350</v>
      </c>
      <c r="H59" s="30"/>
      <c r="I59" s="30"/>
      <c r="K59" s="30">
        <f>SUM(K11:K56)</f>
        <v>6380.523828703352</v>
      </c>
      <c r="L59" s="30">
        <f>SUM(L11:L56)</f>
        <v>6380.523828703353</v>
      </c>
      <c r="M59" s="30">
        <f>SUM(M11:M56)</f>
        <v>-4.476419235288631E-13</v>
      </c>
      <c r="N59" s="37"/>
    </row>
    <row r="60" spans="1:14" ht="13.5" thickBot="1">
      <c r="A60" s="9"/>
      <c r="B60" s="43"/>
      <c r="C60" s="87"/>
      <c r="D60" s="75"/>
      <c r="E60" s="9"/>
      <c r="F60" s="9"/>
      <c r="G60" s="9"/>
      <c r="H60" s="94"/>
      <c r="I60" s="94"/>
      <c r="J60" s="9"/>
      <c r="K60" s="94"/>
      <c r="L60" s="94"/>
      <c r="M60" s="89"/>
      <c r="N60" s="9"/>
    </row>
    <row r="61" spans="2:14" ht="12.75">
      <c r="B61"/>
      <c r="N61" s="37"/>
    </row>
    <row r="62" spans="2:14" ht="12.75">
      <c r="B62" s="15" t="s">
        <v>177</v>
      </c>
      <c r="N62" s="37"/>
    </row>
    <row r="63" spans="2:14" ht="12.75">
      <c r="B63" s="15" t="s">
        <v>468</v>
      </c>
      <c r="C63" s="32"/>
      <c r="N63" s="37"/>
    </row>
    <row r="64" spans="2:14" ht="12.75">
      <c r="B64" s="15" t="s">
        <v>156</v>
      </c>
      <c r="C64" s="99" t="s">
        <v>575</v>
      </c>
      <c r="N64" s="37"/>
    </row>
    <row r="65" spans="2:3" ht="12.75">
      <c r="B65" s="15" t="s">
        <v>157</v>
      </c>
      <c r="C65" s="99" t="s">
        <v>576</v>
      </c>
    </row>
    <row r="66" spans="2:3" ht="12.75">
      <c r="B66" s="15" t="s">
        <v>158</v>
      </c>
      <c r="C66" s="99" t="s">
        <v>577</v>
      </c>
    </row>
    <row r="67" spans="2:3" ht="12.75">
      <c r="B67" s="15" t="s">
        <v>159</v>
      </c>
      <c r="C67" s="99" t="s">
        <v>466</v>
      </c>
    </row>
    <row r="68" spans="2:3" ht="12.75">
      <c r="B68" s="15" t="s">
        <v>210</v>
      </c>
      <c r="C68" s="99" t="s">
        <v>19</v>
      </c>
    </row>
    <row r="69" spans="2:3" ht="12.75">
      <c r="B69" s="15" t="s">
        <v>250</v>
      </c>
      <c r="C69" s="99" t="s">
        <v>454</v>
      </c>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s="15"/>
    </row>
    <row r="112" ht="12.75">
      <c r="B112" s="15"/>
    </row>
    <row r="113" ht="12.75">
      <c r="B113" s="15"/>
    </row>
    <row r="114" ht="12.75">
      <c r="B114" s="15"/>
    </row>
  </sheetData>
  <sheetProtection/>
  <printOptions horizontalCentered="1"/>
  <pageMargins left="0.75" right="0.25" top="0.5" bottom="0.25" header="0.5" footer="0.5"/>
  <pageSetup fitToHeight="2" orientation="portrait" scale="88" r:id="rId1"/>
  <rowBreaks count="1" manualBreakCount="1">
    <brk id="36" max="13" man="1"/>
  </rowBreaks>
</worksheet>
</file>

<file path=xl/worksheets/sheet11.xml><?xml version="1.0" encoding="utf-8"?>
<worksheet xmlns="http://schemas.openxmlformats.org/spreadsheetml/2006/main" xmlns:r="http://schemas.openxmlformats.org/officeDocument/2006/relationships">
  <sheetPr>
    <pageSetUpPr fitToPage="1"/>
  </sheetPr>
  <dimension ref="A3:S35"/>
  <sheetViews>
    <sheetView zoomScale="125" zoomScaleNormal="125" zoomScalePageLayoutView="0" workbookViewId="0" topLeftCell="A1">
      <selection activeCell="K11" sqref="K11"/>
    </sheetView>
  </sheetViews>
  <sheetFormatPr defaultColWidth="9.140625" defaultRowHeight="12.75"/>
  <cols>
    <col min="1" max="1" width="2.8515625" style="46" customWidth="1"/>
    <col min="2" max="2" width="4.28125" style="45" customWidth="1"/>
    <col min="3" max="3" width="20.28125" style="45" customWidth="1"/>
    <col min="4" max="4" width="19.140625" style="45" customWidth="1"/>
    <col min="5" max="5" width="8.421875" style="63" customWidth="1"/>
    <col min="6" max="6" width="13.7109375" style="63" bestFit="1" customWidth="1"/>
    <col min="7" max="7" width="9.140625" style="45" customWidth="1"/>
    <col min="8" max="8" width="13.28125" style="0" customWidth="1"/>
    <col min="9" max="9" width="13.421875" style="63" customWidth="1"/>
    <col min="10" max="10" width="2.28125" style="63" customWidth="1"/>
    <col min="11" max="11" width="12.8515625" style="45" customWidth="1"/>
    <col min="12" max="12" width="2.28125" style="63" customWidth="1"/>
    <col min="13" max="13" width="11.7109375" style="45" bestFit="1" customWidth="1"/>
    <col min="14" max="14" width="9.140625" style="45" customWidth="1"/>
    <col min="15" max="15" width="9.28125" style="45" bestFit="1" customWidth="1"/>
    <col min="16" max="16" width="9.421875" style="45" bestFit="1" customWidth="1"/>
    <col min="17" max="16384" width="9.140625" style="45" customWidth="1"/>
  </cols>
  <sheetData>
    <row r="3" spans="1:12" ht="16.5" thickBot="1">
      <c r="A3" s="43"/>
      <c r="B3" s="42" t="s">
        <v>309</v>
      </c>
      <c r="C3" s="42"/>
      <c r="D3" s="43"/>
      <c r="E3" s="44"/>
      <c r="F3" s="44"/>
      <c r="G3" s="43"/>
      <c r="H3" s="9"/>
      <c r="I3" s="44"/>
      <c r="J3" s="44"/>
      <c r="K3" s="43"/>
      <c r="L3" s="44"/>
    </row>
    <row r="4" spans="1:12" s="68" customFormat="1" ht="40.5" customHeight="1">
      <c r="A4" s="72"/>
      <c r="B4" s="50"/>
      <c r="C4" s="50" t="s">
        <v>30</v>
      </c>
      <c r="D4" s="50" t="s">
        <v>31</v>
      </c>
      <c r="E4" s="50" t="s">
        <v>32</v>
      </c>
      <c r="F4" s="50" t="s">
        <v>270</v>
      </c>
      <c r="G4" s="50" t="s">
        <v>33</v>
      </c>
      <c r="H4" s="171" t="s">
        <v>504</v>
      </c>
      <c r="I4" s="50" t="s">
        <v>184</v>
      </c>
      <c r="J4" s="50"/>
      <c r="K4" s="182" t="s">
        <v>503</v>
      </c>
      <c r="L4" s="50"/>
    </row>
    <row r="5" spans="1:12" s="68" customFormat="1" ht="12.75">
      <c r="A5" s="46"/>
      <c r="B5" s="50"/>
      <c r="C5" s="50"/>
      <c r="D5" s="50"/>
      <c r="E5" s="50"/>
      <c r="F5" s="50"/>
      <c r="G5" s="50" t="s">
        <v>37</v>
      </c>
      <c r="H5" s="170" t="s">
        <v>449</v>
      </c>
      <c r="I5" s="50"/>
      <c r="J5" s="50"/>
      <c r="K5" s="182" t="s">
        <v>502</v>
      </c>
      <c r="L5" s="50"/>
    </row>
    <row r="6" spans="1:12" s="68" customFormat="1" ht="12.75">
      <c r="A6" s="46"/>
      <c r="B6" s="51"/>
      <c r="C6" s="51" t="s">
        <v>153</v>
      </c>
      <c r="D6" s="51" t="s">
        <v>154</v>
      </c>
      <c r="E6" s="51" t="s">
        <v>155</v>
      </c>
      <c r="F6" s="51" t="s">
        <v>156</v>
      </c>
      <c r="G6" s="51" t="s">
        <v>157</v>
      </c>
      <c r="H6" s="51" t="s">
        <v>158</v>
      </c>
      <c r="I6" s="51" t="s">
        <v>159</v>
      </c>
      <c r="J6" s="50"/>
      <c r="K6" s="173" t="s">
        <v>210</v>
      </c>
      <c r="L6" s="50"/>
    </row>
    <row r="7" spans="2:12" ht="12.75">
      <c r="B7" s="46"/>
      <c r="C7" s="46"/>
      <c r="D7" s="46"/>
      <c r="E7" s="47"/>
      <c r="F7" s="47"/>
      <c r="G7" s="46"/>
      <c r="H7" s="163"/>
      <c r="I7" s="52"/>
      <c r="J7" s="52"/>
      <c r="K7" s="56"/>
      <c r="L7" s="52"/>
    </row>
    <row r="8" spans="2:16" ht="12.75">
      <c r="B8" s="46" t="s">
        <v>160</v>
      </c>
      <c r="C8" s="120" t="s">
        <v>138</v>
      </c>
      <c r="D8" s="46" t="s">
        <v>139</v>
      </c>
      <c r="E8" s="47" t="s">
        <v>217</v>
      </c>
      <c r="F8" s="47" t="s">
        <v>273</v>
      </c>
      <c r="G8" s="67">
        <f>2*980</f>
        <v>1960</v>
      </c>
      <c r="H8" s="172">
        <f>(2396+1668+125)+0.5*(201+195+73)</f>
        <v>4423.5</v>
      </c>
      <c r="I8" s="52" t="s">
        <v>140</v>
      </c>
      <c r="J8" s="52"/>
      <c r="K8" s="56">
        <f>H8*86%*1000/G8</f>
        <v>1940.9234693877552</v>
      </c>
      <c r="L8" s="52"/>
      <c r="M8" s="247"/>
      <c r="O8" s="71"/>
      <c r="P8" s="71"/>
    </row>
    <row r="9" spans="2:16" ht="12.75">
      <c r="B9" s="46" t="s">
        <v>161</v>
      </c>
      <c r="C9" s="120" t="s">
        <v>131</v>
      </c>
      <c r="D9" s="46" t="s">
        <v>132</v>
      </c>
      <c r="E9" s="47" t="s">
        <v>218</v>
      </c>
      <c r="F9" s="47" t="s">
        <v>273</v>
      </c>
      <c r="G9" s="67">
        <v>800</v>
      </c>
      <c r="H9" s="172">
        <v>1800</v>
      </c>
      <c r="I9" s="52">
        <v>2012</v>
      </c>
      <c r="J9" s="52"/>
      <c r="K9" s="56">
        <f>H9*86%*1000/G9</f>
        <v>1935</v>
      </c>
      <c r="L9" s="52"/>
      <c r="M9" s="248"/>
      <c r="O9" s="71"/>
      <c r="P9" s="71"/>
    </row>
    <row r="10" spans="2:16" ht="12.75">
      <c r="B10" s="46" t="s">
        <v>162</v>
      </c>
      <c r="C10" s="120" t="s">
        <v>134</v>
      </c>
      <c r="D10" s="46" t="s">
        <v>135</v>
      </c>
      <c r="E10" s="47" t="s">
        <v>218</v>
      </c>
      <c r="F10" s="47" t="s">
        <v>275</v>
      </c>
      <c r="G10" s="67">
        <f>2*480</f>
        <v>960</v>
      </c>
      <c r="H10" s="172">
        <v>3257</v>
      </c>
      <c r="I10" s="52">
        <v>2014</v>
      </c>
      <c r="J10" s="52"/>
      <c r="K10" s="172">
        <f>H10*88%*1000/G10</f>
        <v>2985.5833333333335</v>
      </c>
      <c r="L10" s="52"/>
      <c r="M10" s="247"/>
      <c r="P10" s="71"/>
    </row>
    <row r="11" spans="2:19" ht="12.75">
      <c r="B11" s="46" t="s">
        <v>163</v>
      </c>
      <c r="C11" s="120" t="s">
        <v>136</v>
      </c>
      <c r="D11" s="46" t="s">
        <v>133</v>
      </c>
      <c r="E11" s="47" t="s">
        <v>217</v>
      </c>
      <c r="F11" s="47" t="s">
        <v>274</v>
      </c>
      <c r="G11" s="67">
        <v>600</v>
      </c>
      <c r="H11" s="172">
        <v>1558</v>
      </c>
      <c r="I11" s="52">
        <v>2012</v>
      </c>
      <c r="J11" s="47"/>
      <c r="K11" s="172">
        <f>H11*88%*1000/G11</f>
        <v>2285.0666666666666</v>
      </c>
      <c r="L11" s="47"/>
      <c r="M11" s="70"/>
      <c r="P11" s="71"/>
      <c r="S11" s="73"/>
    </row>
    <row r="12" spans="1:12" ht="13.5" thickBot="1">
      <c r="A12" s="43"/>
      <c r="B12" s="43"/>
      <c r="C12" s="43"/>
      <c r="D12" s="43"/>
      <c r="E12" s="44"/>
      <c r="F12" s="44"/>
      <c r="G12" s="58"/>
      <c r="H12" s="9"/>
      <c r="I12" s="59"/>
      <c r="J12" s="59"/>
      <c r="K12" s="60"/>
      <c r="L12" s="59"/>
    </row>
    <row r="13" spans="2:12" ht="12.75">
      <c r="B13" s="46"/>
      <c r="C13" s="46"/>
      <c r="D13" s="46"/>
      <c r="E13" s="47"/>
      <c r="F13" s="47"/>
      <c r="G13" s="53"/>
      <c r="I13" s="50"/>
      <c r="J13" s="50"/>
      <c r="K13" s="53"/>
      <c r="L13" s="50"/>
    </row>
    <row r="14" spans="2:12" s="46" customFormat="1" ht="12.75">
      <c r="B14" s="66" t="s">
        <v>414</v>
      </c>
      <c r="C14" s="45"/>
      <c r="E14" s="47"/>
      <c r="F14" s="47"/>
      <c r="I14" s="47"/>
      <c r="J14" s="47"/>
      <c r="L14" s="47"/>
    </row>
    <row r="15" spans="2:12" s="46" customFormat="1" ht="12.75">
      <c r="B15" s="66" t="s">
        <v>160</v>
      </c>
      <c r="C15" s="66" t="s">
        <v>505</v>
      </c>
      <c r="E15" s="47"/>
      <c r="F15" s="47"/>
      <c r="I15" s="47"/>
      <c r="J15" s="47"/>
      <c r="L15" s="47"/>
    </row>
    <row r="16" spans="2:3" ht="12.75">
      <c r="B16" s="66" t="s">
        <v>161</v>
      </c>
      <c r="C16" s="66" t="s">
        <v>219</v>
      </c>
    </row>
    <row r="17" spans="2:3" ht="12.75">
      <c r="B17" s="66" t="s">
        <v>162</v>
      </c>
      <c r="C17" s="66" t="s">
        <v>507</v>
      </c>
    </row>
    <row r="18" spans="2:3" ht="12.75">
      <c r="B18" s="66" t="s">
        <v>163</v>
      </c>
      <c r="C18" s="66" t="s">
        <v>506</v>
      </c>
    </row>
    <row r="20" ht="12.75">
      <c r="B20" s="66" t="s">
        <v>416</v>
      </c>
    </row>
    <row r="21" spans="2:3" ht="12.75">
      <c r="B21" s="66" t="s">
        <v>410</v>
      </c>
      <c r="C21" s="66" t="s">
        <v>411</v>
      </c>
    </row>
    <row r="23" ht="12.75">
      <c r="B23" s="66" t="s">
        <v>415</v>
      </c>
    </row>
    <row r="24" spans="2:3" ht="12.75">
      <c r="B24" s="66" t="s">
        <v>160</v>
      </c>
      <c r="C24" s="66" t="s">
        <v>595</v>
      </c>
    </row>
    <row r="25" spans="2:3" ht="12.75">
      <c r="B25" s="66"/>
      <c r="C25" s="66" t="s">
        <v>602</v>
      </c>
    </row>
    <row r="26" spans="2:3" ht="12.75">
      <c r="B26" s="66"/>
      <c r="C26" s="66" t="s">
        <v>603</v>
      </c>
    </row>
    <row r="27" spans="2:3" ht="12.75">
      <c r="B27" s="66"/>
      <c r="C27" s="66" t="s">
        <v>4</v>
      </c>
    </row>
    <row r="28" spans="2:3" ht="12.75">
      <c r="B28" s="66"/>
      <c r="C28" s="66" t="s">
        <v>604</v>
      </c>
    </row>
    <row r="29" spans="2:3" ht="12.75">
      <c r="B29" s="66" t="s">
        <v>161</v>
      </c>
      <c r="C29" s="66" t="s">
        <v>605</v>
      </c>
    </row>
    <row r="30" spans="2:3" ht="12.75">
      <c r="B30" s="66" t="s">
        <v>162</v>
      </c>
      <c r="C30" s="66" t="s">
        <v>606</v>
      </c>
    </row>
    <row r="31" spans="2:3" ht="12.75">
      <c r="B31" s="66"/>
      <c r="C31" s="66" t="s">
        <v>5</v>
      </c>
    </row>
    <row r="32" spans="2:3" ht="12.75">
      <c r="B32" s="66"/>
      <c r="C32" s="66" t="s">
        <v>607</v>
      </c>
    </row>
    <row r="33" spans="2:3" ht="12.75">
      <c r="B33" s="66"/>
      <c r="C33" s="66" t="s">
        <v>276</v>
      </c>
    </row>
    <row r="34" spans="2:3" ht="12.75">
      <c r="B34" s="66"/>
      <c r="C34" s="66" t="s">
        <v>277</v>
      </c>
    </row>
    <row r="35" spans="2:3" ht="12.75">
      <c r="B35" s="66" t="s">
        <v>163</v>
      </c>
      <c r="C35" s="66" t="s">
        <v>608</v>
      </c>
    </row>
  </sheetData>
  <sheetProtection/>
  <printOptions horizontalCentered="1" verticalCentered="1"/>
  <pageMargins left="0.75" right="0.75" top="1" bottom="1" header="0.5" footer="0.5"/>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3:P64"/>
  <sheetViews>
    <sheetView zoomScalePageLayoutView="0" workbookViewId="0" topLeftCell="A49">
      <selection activeCell="M88" sqref="M88"/>
    </sheetView>
  </sheetViews>
  <sheetFormatPr defaultColWidth="8.8515625" defaultRowHeight="12.75"/>
  <cols>
    <col min="1" max="1" width="2.8515625" style="37" customWidth="1"/>
    <col min="2" max="2" width="4.28125" style="45" customWidth="1"/>
    <col min="3" max="3" width="6.7109375" style="19" customWidth="1"/>
    <col min="4" max="4" width="9.421875" style="19" customWidth="1"/>
    <col min="5" max="5" width="3.8515625" style="0" customWidth="1"/>
    <col min="6" max="7" width="11.8515625" style="0" customWidth="1"/>
    <col min="8" max="8" width="11.8515625" style="20" customWidth="1"/>
    <col min="9" max="10" width="11.8515625" style="0" customWidth="1"/>
    <col min="11" max="11" width="8.421875" style="37" customWidth="1"/>
    <col min="12" max="13" width="8.8515625" style="0" customWidth="1"/>
    <col min="14" max="16" width="11.421875" style="0" customWidth="1"/>
  </cols>
  <sheetData>
    <row r="3" spans="1:12" ht="16.5" thickBot="1">
      <c r="A3" s="42" t="s">
        <v>417</v>
      </c>
      <c r="B3" s="43"/>
      <c r="C3" s="75"/>
      <c r="D3" s="75"/>
      <c r="E3" s="9"/>
      <c r="F3" s="9"/>
      <c r="G3" s="9"/>
      <c r="H3" s="79"/>
      <c r="I3" s="9"/>
      <c r="J3" s="9"/>
      <c r="K3" s="9"/>
      <c r="L3" s="9"/>
    </row>
    <row r="4" ht="15.75">
      <c r="B4" s="74"/>
    </row>
    <row r="5" spans="2:16" ht="15.75">
      <c r="B5" s="74"/>
      <c r="H5" s="101"/>
      <c r="N5" s="23"/>
      <c r="O5" s="102"/>
      <c r="P5" s="102"/>
    </row>
    <row r="6" spans="1:11" s="22" customFormat="1" ht="27" customHeight="1">
      <c r="A6" s="37"/>
      <c r="B6" s="74"/>
      <c r="C6" s="22" t="s">
        <v>72</v>
      </c>
      <c r="D6" s="22" t="s">
        <v>73</v>
      </c>
      <c r="F6" s="23" t="s">
        <v>108</v>
      </c>
      <c r="G6" s="23" t="s">
        <v>109</v>
      </c>
      <c r="H6" s="101" t="s">
        <v>143</v>
      </c>
      <c r="I6" s="23" t="s">
        <v>110</v>
      </c>
      <c r="J6" s="23" t="s">
        <v>74</v>
      </c>
      <c r="K6" s="37"/>
    </row>
    <row r="7" spans="1:11" s="22" customFormat="1" ht="12.75" customHeight="1">
      <c r="A7" s="17"/>
      <c r="B7" s="50"/>
      <c r="C7" s="80" t="s">
        <v>153</v>
      </c>
      <c r="D7" s="80" t="s">
        <v>154</v>
      </c>
      <c r="E7" s="80"/>
      <c r="F7" s="81" t="s">
        <v>155</v>
      </c>
      <c r="G7" s="81" t="s">
        <v>156</v>
      </c>
      <c r="H7" s="103" t="s">
        <v>157</v>
      </c>
      <c r="I7" s="81" t="s">
        <v>158</v>
      </c>
      <c r="J7" s="81" t="s">
        <v>159</v>
      </c>
      <c r="K7" s="17"/>
    </row>
    <row r="8" spans="1:11" s="22" customFormat="1" ht="12.75" customHeight="1">
      <c r="A8" s="17"/>
      <c r="B8" s="50"/>
      <c r="F8" s="23"/>
      <c r="G8" s="23"/>
      <c r="H8" s="101"/>
      <c r="I8" s="23"/>
      <c r="J8" s="23"/>
      <c r="K8" s="17"/>
    </row>
    <row r="9" spans="6:16" ht="12.75">
      <c r="F9" s="28"/>
      <c r="G9" s="28"/>
      <c r="H9" s="28"/>
      <c r="I9" s="28"/>
      <c r="J9" s="28"/>
      <c r="N9" s="24"/>
      <c r="O9" s="24"/>
      <c r="P9" s="24"/>
    </row>
    <row r="10" spans="2:16" ht="12.75">
      <c r="B10" s="46" t="s">
        <v>160</v>
      </c>
      <c r="C10" s="19">
        <v>-4</v>
      </c>
      <c r="D10" s="19">
        <v>2009</v>
      </c>
      <c r="F10" s="28"/>
      <c r="G10" s="28"/>
      <c r="H10" s="28"/>
      <c r="I10" s="28"/>
      <c r="J10" s="28"/>
      <c r="N10" s="24"/>
      <c r="O10" s="24"/>
      <c r="P10" s="24"/>
    </row>
    <row r="11" spans="2:16" ht="12.75">
      <c r="B11" s="46" t="s">
        <v>161</v>
      </c>
      <c r="C11" s="19">
        <v>-3</v>
      </c>
      <c r="D11" s="19">
        <v>2010</v>
      </c>
      <c r="F11" s="28">
        <f>costKcoalO*Ccoal*'Table 5 LCOE inputs'!I34/1000*'Escalation Factors'!I11</f>
        <v>366.9377266</v>
      </c>
      <c r="G11" s="28"/>
      <c r="H11" s="28"/>
      <c r="I11" s="28"/>
      <c r="J11" s="28"/>
      <c r="N11" s="24"/>
      <c r="O11" s="24"/>
      <c r="P11" s="24"/>
    </row>
    <row r="12" spans="2:16" ht="12.75">
      <c r="B12" s="46" t="s">
        <v>162</v>
      </c>
      <c r="C12" s="19">
        <v>-2</v>
      </c>
      <c r="D12" s="19">
        <v>2011</v>
      </c>
      <c r="F12" s="28">
        <f>costKcoalO*Ccoal*'Table 5 LCOE inputs'!I35/1000*'Escalation Factors'!I12</f>
        <v>916.389273102</v>
      </c>
      <c r="G12" s="28"/>
      <c r="H12" s="28"/>
      <c r="I12" s="28"/>
      <c r="J12" s="28"/>
      <c r="N12" s="24"/>
      <c r="O12" s="24"/>
      <c r="P12" s="24"/>
    </row>
    <row r="13" spans="2:16" ht="12.75">
      <c r="B13" s="46" t="s">
        <v>163</v>
      </c>
      <c r="C13" s="19">
        <v>-1</v>
      </c>
      <c r="D13" s="19">
        <v>2012</v>
      </c>
      <c r="F13" s="28">
        <f>costKcoalO*Ccoal*'Table 5 LCOE inputs'!I36/1000*'Escalation Factors'!I13</f>
        <v>943.88095129506</v>
      </c>
      <c r="G13" s="28"/>
      <c r="H13" s="28"/>
      <c r="I13" s="28"/>
      <c r="J13" s="28"/>
      <c r="N13" s="24"/>
      <c r="O13" s="24"/>
      <c r="P13" s="24"/>
    </row>
    <row r="14" spans="2:16" ht="12.75">
      <c r="B14" s="46" t="s">
        <v>164</v>
      </c>
      <c r="C14" s="19">
        <v>0</v>
      </c>
      <c r="D14" s="19">
        <v>2013</v>
      </c>
      <c r="F14" s="28">
        <f>costKcoalO*Ccoal*'Table 5 LCOE inputs'!I37/1000*'Escalation Factors'!I14</f>
        <v>400.9627611744382</v>
      </c>
      <c r="G14" s="28"/>
      <c r="H14" s="28"/>
      <c r="I14" s="28"/>
      <c r="J14" s="28"/>
      <c r="N14" s="24"/>
      <c r="O14" s="24"/>
      <c r="P14" s="24"/>
    </row>
    <row r="15" spans="2:16" ht="12.75">
      <c r="B15" s="46" t="s">
        <v>165</v>
      </c>
      <c r="C15" s="19">
        <v>1</v>
      </c>
      <c r="D15" s="19">
        <v>2014</v>
      </c>
      <c r="F15" s="28"/>
      <c r="G15" s="28">
        <f>'Table 5 LCOE inputs'!I40*SUM(F$9:F$14)</f>
        <v>98.55640170643117</v>
      </c>
      <c r="H15" s="28">
        <f>costKcoalI*Ccoal*'Escalation Factors'!I15/1000</f>
        <v>32.63896027473694</v>
      </c>
      <c r="I15" s="28">
        <f>((costOMfixcoal*Ccoal)/1000+(CFcoal*Ccoal*8766*costOMvarcoal/1000000))*'Escalation Factors'!J15</f>
        <v>67.13232191499137</v>
      </c>
      <c r="J15" s="28">
        <f>(CFcoal*Ccoal*8766*costFcoal*Hcoal)/1000000000*'Escalation Factors'!K15</f>
        <v>218.84688282761743</v>
      </c>
      <c r="N15" s="24"/>
      <c r="O15" s="24"/>
      <c r="P15" s="24"/>
    </row>
    <row r="16" spans="2:16" ht="12.75">
      <c r="B16" s="46" t="s">
        <v>166</v>
      </c>
      <c r="C16" s="19">
        <v>2</v>
      </c>
      <c r="D16" s="19">
        <v>2015</v>
      </c>
      <c r="F16" s="28"/>
      <c r="G16" s="28">
        <f>'Table 5 LCOE inputs'!I41*SUM(F$9:F$14)</f>
        <v>189.72764371166045</v>
      </c>
      <c r="H16" s="28">
        <f>costKcoalI*Ccoal*'Escalation Factors'!I16/1000</f>
        <v>33.61812908297904</v>
      </c>
      <c r="I16" s="28">
        <f>((costOMfixcoal*Ccoal)/1000+(CFcoal*Ccoal*8766*costOMvarcoal/1000000))*'Escalation Factors'!J16</f>
        <v>69.83775448816552</v>
      </c>
      <c r="J16" s="28">
        <f>(CFcoal*Ccoal*8766*costFcoal*Hcoal)/1000000000*'Escalation Factors'!K16</f>
        <v>226.53935075900816</v>
      </c>
      <c r="N16" s="24"/>
      <c r="O16" s="24"/>
      <c r="P16" s="24"/>
    </row>
    <row r="17" spans="2:16" ht="12.75">
      <c r="B17" s="46" t="s">
        <v>167</v>
      </c>
      <c r="C17" s="19">
        <v>3</v>
      </c>
      <c r="D17" s="19">
        <v>2016</v>
      </c>
      <c r="F17" s="28"/>
      <c r="G17" s="28">
        <f>'Table 5 LCOE inputs'!I42*SUM(F$9:F$14)</f>
        <v>175.4829584516909</v>
      </c>
      <c r="H17" s="28">
        <f>costKcoalI*Ccoal*'Escalation Factors'!I17/1000</f>
        <v>34.626672955468415</v>
      </c>
      <c r="I17" s="28">
        <f>((costOMfixcoal*Ccoal)/1000+(CFcoal*Ccoal*8766*costOMvarcoal/1000000))*'Escalation Factors'!J17</f>
        <v>72.65221599403858</v>
      </c>
      <c r="J17" s="28">
        <f>(CFcoal*Ccoal*8766*costFcoal*Hcoal)/1000000000*'Escalation Factors'!K17</f>
        <v>234.5022089381873</v>
      </c>
      <c r="N17" s="24"/>
      <c r="O17" s="24"/>
      <c r="P17" s="24"/>
    </row>
    <row r="18" spans="2:16" ht="12.75">
      <c r="B18" s="46" t="s">
        <v>168</v>
      </c>
      <c r="C18" s="19">
        <v>4</v>
      </c>
      <c r="D18" s="19">
        <v>2017</v>
      </c>
      <c r="F18" s="28"/>
      <c r="G18" s="28">
        <f>'Table 5 LCOE inputs'!I43*SUM(F$9:F$14)</f>
        <v>162.34210489083344</v>
      </c>
      <c r="H18" s="28">
        <f>costKcoalI*Ccoal*'Escalation Factors'!I18/1000</f>
        <v>35.66547314413246</v>
      </c>
      <c r="I18" s="28">
        <f>((costOMfixcoal*Ccoal)/1000+(CFcoal*Ccoal*8766*costOMvarcoal/1000000))*'Escalation Factors'!J18</f>
        <v>75.58010029859834</v>
      </c>
      <c r="J18" s="28">
        <f>(CFcoal*Ccoal*8766*costFcoal*Hcoal)/1000000000*'Escalation Factors'!K18</f>
        <v>242.74496158236457</v>
      </c>
      <c r="N18" s="24"/>
      <c r="O18" s="24"/>
      <c r="P18" s="24"/>
    </row>
    <row r="19" spans="2:16" ht="12.75">
      <c r="B19" s="46" t="s">
        <v>169</v>
      </c>
      <c r="C19" s="19">
        <v>5</v>
      </c>
      <c r="D19" s="19">
        <v>2018</v>
      </c>
      <c r="F19" s="28"/>
      <c r="G19" s="28">
        <f>'Table 5 LCOE inputs'!I44*SUM(F$9:F$14)</f>
        <v>150.14739278635767</v>
      </c>
      <c r="H19" s="28">
        <f>costKcoalI*Ccoal*'Escalation Factors'!I19/1000</f>
        <v>36.735437338456435</v>
      </c>
      <c r="I19" s="28">
        <f>((costOMfixcoal*Ccoal)/1000+(CFcoal*Ccoal*8766*costOMvarcoal/1000000))*'Escalation Factors'!J19</f>
        <v>78.62597834063186</v>
      </c>
      <c r="J19" s="28">
        <f>(CFcoal*Ccoal*8766*costFcoal*Hcoal)/1000000000*'Escalation Factors'!K19</f>
        <v>251.27744698198472</v>
      </c>
      <c r="N19" s="24"/>
      <c r="O19" s="24"/>
      <c r="P19" s="24"/>
    </row>
    <row r="20" spans="2:16" ht="12.75">
      <c r="B20" t="s">
        <v>170</v>
      </c>
      <c r="C20" s="19">
        <v>6</v>
      </c>
      <c r="D20" s="19">
        <v>2019</v>
      </c>
      <c r="F20" s="28"/>
      <c r="G20" s="28">
        <f>'Table 5 LCOE inputs'!I45*SUM(F$9:F$14)</f>
        <v>138.89882213826368</v>
      </c>
      <c r="H20" s="28">
        <f>costKcoalI*Ccoal*'Escalation Factors'!I20/1000</f>
        <v>37.83750045861013</v>
      </c>
      <c r="I20" s="28">
        <f>((costOMfixcoal*Ccoal)/1000+(CFcoal*Ccoal*8766*costOMvarcoal/1000000))*'Escalation Factors'!J20</f>
        <v>81.79460526775931</v>
      </c>
      <c r="J20" s="28">
        <f>(CFcoal*Ccoal*8766*costFcoal*Hcoal)/1000000000*'Escalation Factors'!K20</f>
        <v>260.10984924340147</v>
      </c>
      <c r="N20" s="24"/>
      <c r="O20" s="24"/>
      <c r="P20" s="24"/>
    </row>
    <row r="21" spans="2:16" ht="12.75">
      <c r="B21" t="s">
        <v>171</v>
      </c>
      <c r="C21" s="19">
        <v>7</v>
      </c>
      <c r="D21" s="19">
        <v>2020</v>
      </c>
      <c r="F21" s="28"/>
      <c r="G21" s="28">
        <f>'Table 5 LCOE inputs'!I46*SUM(F$9:F$14)</f>
        <v>128.46498441094283</v>
      </c>
      <c r="H21" s="28">
        <f>costKcoalI*Ccoal*'Escalation Factors'!I21/1000</f>
        <v>38.97262547236843</v>
      </c>
      <c r="I21" s="28">
        <f>((costOMfixcoal*Ccoal)/1000+(CFcoal*Ccoal*8766*costOMvarcoal/1000000))*'Escalation Factors'!J21</f>
        <v>85.09092786005</v>
      </c>
      <c r="J21" s="28">
        <f>(CFcoal*Ccoal*8766*costFcoal*Hcoal)/1000000000*'Escalation Factors'!K21</f>
        <v>269.252710444307</v>
      </c>
      <c r="N21" s="24"/>
      <c r="O21" s="24"/>
      <c r="P21" s="24"/>
    </row>
    <row r="22" spans="2:16" ht="12.75">
      <c r="B22" t="s">
        <v>174</v>
      </c>
      <c r="C22" s="19">
        <v>8</v>
      </c>
      <c r="D22" s="19">
        <v>2021</v>
      </c>
      <c r="F22" s="28"/>
      <c r="G22" s="28">
        <f>'Table 5 LCOE inputs'!I47*SUM(F$9:F$14)</f>
        <v>118.84587960439515</v>
      </c>
      <c r="H22" s="28">
        <f>costKcoalI*Ccoal*'Escalation Factors'!I22/1000</f>
        <v>40.141804236539485</v>
      </c>
      <c r="I22" s="28">
        <f>((costOMfixcoal*Ccoal)/1000+(CFcoal*Ccoal*8766*costOMvarcoal/1000000))*'Escalation Factors'!J22</f>
        <v>88.52009225281003</v>
      </c>
      <c r="J22" s="28">
        <f>(CFcoal*Ccoal*8766*costFcoal*Hcoal)/1000000000*'Escalation Factors'!K22</f>
        <v>278.71694321642445</v>
      </c>
      <c r="N22" s="24"/>
      <c r="O22" s="24"/>
      <c r="P22" s="24"/>
    </row>
    <row r="23" spans="2:16" ht="12.75">
      <c r="B23" t="s">
        <v>174</v>
      </c>
      <c r="C23" s="19">
        <v>9</v>
      </c>
      <c r="D23" s="19">
        <v>2022</v>
      </c>
      <c r="F23" s="28"/>
      <c r="G23" s="28">
        <f>'Table 5 LCOE inputs'!I48*SUM(F$9:F$14)</f>
        <v>117.26897717709224</v>
      </c>
      <c r="H23" s="28">
        <f>costKcoalI*Ccoal*'Escalation Factors'!I23/1000</f>
        <v>41.34605836363568</v>
      </c>
      <c r="I23" s="28">
        <f>((costOMfixcoal*Ccoal)/1000+(CFcoal*Ccoal*8766*costOMvarcoal/1000000))*'Escalation Factors'!J23</f>
        <v>92.08745197059827</v>
      </c>
      <c r="J23" s="28">
        <f>(CFcoal*Ccoal*8766*costFcoal*Hcoal)/1000000000*'Escalation Factors'!K23</f>
        <v>288.5138437704818</v>
      </c>
      <c r="N23" s="24"/>
      <c r="O23" s="24"/>
      <c r="P23" s="24"/>
    </row>
    <row r="24" spans="2:16" ht="12.75">
      <c r="B24" t="s">
        <v>124</v>
      </c>
      <c r="C24" s="19">
        <v>10</v>
      </c>
      <c r="D24" s="19">
        <v>2023</v>
      </c>
      <c r="F24" s="28"/>
      <c r="G24" s="28">
        <f>'Table 5 LCOE inputs'!I49*SUM(F$9:F$14)</f>
        <v>117.24269546997051</v>
      </c>
      <c r="H24" s="28">
        <f>costKcoalI*Ccoal*'Escalation Factors'!I24/1000</f>
        <v>42.586440114544736</v>
      </c>
      <c r="I24" s="28">
        <f>((costOMfixcoal*Ccoal)/1000+(CFcoal*Ccoal*8766*costOMvarcoal/1000000))*'Escalation Factors'!J24</f>
        <v>95.79857628501337</v>
      </c>
      <c r="J24" s="28">
        <f>(CFcoal*Ccoal*8766*costFcoal*Hcoal)/1000000000*'Escalation Factors'!K24</f>
        <v>298.6551053790142</v>
      </c>
      <c r="N24" s="24"/>
      <c r="O24" s="24"/>
      <c r="P24" s="24"/>
    </row>
    <row r="25" spans="2:16" ht="12.75">
      <c r="B25" t="s">
        <v>221</v>
      </c>
      <c r="C25" s="19">
        <v>11</v>
      </c>
      <c r="D25" s="19">
        <v>2024</v>
      </c>
      <c r="F25" s="28"/>
      <c r="G25" s="28">
        <f>'Table 5 LCOE inputs'!I50*SUM(F$9:F$14)</f>
        <v>117.26897717709224</v>
      </c>
      <c r="H25" s="28">
        <f>costKcoalI*Ccoal*'Escalation Factors'!I25/1000</f>
        <v>43.864033317981075</v>
      </c>
      <c r="I25" s="28">
        <f>((costOMfixcoal*Ccoal)/1000+(CFcoal*Ccoal*8766*costOMvarcoal/1000000))*'Escalation Factors'!J25</f>
        <v>99.65925890929941</v>
      </c>
      <c r="J25" s="28">
        <f>(CFcoal*Ccoal*8766*costFcoal*Hcoal)/1000000000*'Escalation Factors'!K25</f>
        <v>309.15283233308656</v>
      </c>
      <c r="N25" s="24"/>
      <c r="O25" s="24"/>
      <c r="P25" s="24"/>
    </row>
    <row r="26" spans="2:16" ht="12.75">
      <c r="B26" t="s">
        <v>251</v>
      </c>
      <c r="C26" s="19">
        <v>12</v>
      </c>
      <c r="D26" s="19">
        <v>2025</v>
      </c>
      <c r="F26" s="28"/>
      <c r="G26" s="28">
        <f>'Table 5 LCOE inputs'!I51*SUM(F$9:F$14)</f>
        <v>117.24269546997051</v>
      </c>
      <c r="H26" s="28">
        <f>costKcoalI*Ccoal*'Escalation Factors'!I26/1000</f>
        <v>45.17995431752051</v>
      </c>
      <c r="I26" s="28">
        <f>((costOMfixcoal*Ccoal)/1000+(CFcoal*Ccoal*8766*costOMvarcoal/1000000))*'Escalation Factors'!J26</f>
        <v>103.67552704334418</v>
      </c>
      <c r="J26" s="28">
        <f>(CFcoal*Ccoal*8766*costFcoal*Hcoal)/1000000000*'Escalation Factors'!K26</f>
        <v>320.0195543895946</v>
      </c>
      <c r="N26" s="24"/>
      <c r="O26" s="24"/>
      <c r="P26" s="24"/>
    </row>
    <row r="27" spans="2:16" ht="12.75">
      <c r="B27" t="s">
        <v>252</v>
      </c>
      <c r="C27" s="19">
        <v>13</v>
      </c>
      <c r="D27" s="19">
        <v>2026</v>
      </c>
      <c r="F27" s="28"/>
      <c r="G27" s="28">
        <f>'Table 5 LCOE inputs'!I52*SUM(F$9:F$14)</f>
        <v>117.26897717709224</v>
      </c>
      <c r="H27" s="28">
        <f>costKcoalI*Ccoal*'Escalation Factors'!I27/1000</f>
        <v>46.53535294704612</v>
      </c>
      <c r="I27" s="28">
        <f>((costOMfixcoal*Ccoal)/1000+(CFcoal*Ccoal*8766*costOMvarcoal/1000000))*'Escalation Factors'!J27</f>
        <v>107.85365078319094</v>
      </c>
      <c r="J27" s="28">
        <f>(CFcoal*Ccoal*8766*costFcoal*Hcoal)/1000000000*'Escalation Factors'!K27</f>
        <v>331.26824172638885</v>
      </c>
      <c r="N27" s="24"/>
      <c r="O27" s="24"/>
      <c r="P27" s="24"/>
    </row>
    <row r="28" spans="2:16" ht="12.75">
      <c r="B28" t="s">
        <v>256</v>
      </c>
      <c r="C28" s="19">
        <v>14</v>
      </c>
      <c r="D28" s="19">
        <v>2027</v>
      </c>
      <c r="F28" s="28"/>
      <c r="G28" s="28">
        <f>'Table 5 LCOE inputs'!I53*SUM(F$9:F$14)</f>
        <v>117.24269546997051</v>
      </c>
      <c r="H28" s="28">
        <f>costKcoalI*Ccoal*'Escalation Factors'!I28/1000</f>
        <v>47.9314135354575</v>
      </c>
      <c r="I28" s="28">
        <f>((costOMfixcoal*Ccoal)/1000+(CFcoal*Ccoal*8766*costOMvarcoal/1000000))*'Escalation Factors'!J28</f>
        <v>112.20015290975353</v>
      </c>
      <c r="J28" s="28">
        <f>(CFcoal*Ccoal*8766*costFcoal*Hcoal)/1000000000*'Escalation Factors'!K28</f>
        <v>342.9123204230714</v>
      </c>
      <c r="N28" s="24"/>
      <c r="O28" s="24"/>
      <c r="P28" s="24"/>
    </row>
    <row r="29" spans="2:16" ht="12.75">
      <c r="B29" t="s">
        <v>257</v>
      </c>
      <c r="C29" s="19">
        <v>15</v>
      </c>
      <c r="D29" s="19">
        <v>2028</v>
      </c>
      <c r="F29" s="28"/>
      <c r="G29" s="28">
        <f>'Table 5 LCOE inputs'!I54*SUM(F$9:F$14)</f>
        <v>117.26897717709224</v>
      </c>
      <c r="H29" s="28">
        <f>costKcoalI*Ccoal*'Escalation Factors'!I29/1000</f>
        <v>49.36935594152122</v>
      </c>
      <c r="I29" s="28">
        <f>((costOMfixcoal*Ccoal)/1000+(CFcoal*Ccoal*8766*costOMvarcoal/1000000))*'Escalation Factors'!J29</f>
        <v>116.7218190720166</v>
      </c>
      <c r="J29" s="28">
        <f>(CFcoal*Ccoal*8766*costFcoal*Hcoal)/1000000000*'Escalation Factors'!K29</f>
        <v>354.96568848594234</v>
      </c>
      <c r="N29" s="24"/>
      <c r="O29" s="24"/>
      <c r="P29" s="24"/>
    </row>
    <row r="30" spans="2:16" ht="12.75">
      <c r="B30" t="s">
        <v>258</v>
      </c>
      <c r="C30" s="19">
        <v>16</v>
      </c>
      <c r="D30" s="19">
        <v>2029</v>
      </c>
      <c r="F30" s="28"/>
      <c r="G30" s="28">
        <f>'Table 5 LCOE inputs'!I55*SUM(F$9:F$14)</f>
        <v>117.24269546997051</v>
      </c>
      <c r="H30" s="28">
        <f>costKcoalI*Ccoal*'Escalation Factors'!I30/1000</f>
        <v>50.85043661976687</v>
      </c>
      <c r="I30" s="28">
        <f>((costOMfixcoal*Ccoal)/1000+(CFcoal*Ccoal*8766*costOMvarcoal/1000000))*'Escalation Factors'!J30</f>
        <v>121.42570838061886</v>
      </c>
      <c r="J30" s="28">
        <f>(CFcoal*Ccoal*8766*costFcoal*Hcoal)/1000000000*'Escalation Factors'!K30</f>
        <v>367.4427324362232</v>
      </c>
      <c r="N30" s="24"/>
      <c r="O30" s="24"/>
      <c r="P30" s="24"/>
    </row>
    <row r="31" spans="2:16" ht="12.75">
      <c r="B31" t="s">
        <v>226</v>
      </c>
      <c r="C31" s="19">
        <v>17</v>
      </c>
      <c r="D31" s="19">
        <v>2030</v>
      </c>
      <c r="F31" s="28"/>
      <c r="G31" s="28">
        <f>'Table 5 LCOE inputs'!I56*SUM(F$9:F$14)</f>
        <v>117.26897717709224</v>
      </c>
      <c r="H31" s="28">
        <f>costKcoalI*Ccoal*'Escalation Factors'!I31/1000</f>
        <v>52.37594971835988</v>
      </c>
      <c r="I31" s="28">
        <f>((costOMfixcoal*Ccoal)/1000+(CFcoal*Ccoal*8766*costOMvarcoal/1000000))*'Escalation Factors'!J31</f>
        <v>126.31916442835781</v>
      </c>
      <c r="J31" s="28">
        <f>(CFcoal*Ccoal*8766*costFcoal*Hcoal)/1000000000*'Escalation Factors'!K31</f>
        <v>380.35834448135654</v>
      </c>
      <c r="N31" s="24"/>
      <c r="O31" s="24"/>
      <c r="P31" s="24"/>
    </row>
    <row r="32" spans="2:16" ht="12.75">
      <c r="B32" t="s">
        <v>227</v>
      </c>
      <c r="C32" s="19">
        <v>18</v>
      </c>
      <c r="D32" s="19">
        <v>2031</v>
      </c>
      <c r="F32" s="28"/>
      <c r="G32" s="28">
        <f>'Table 5 LCOE inputs'!I57*SUM(F$9:F$14)</f>
        <v>117.24269546997054</v>
      </c>
      <c r="H32" s="28">
        <f>costKcoalI*Ccoal*'Escalation Factors'!I32/1000</f>
        <v>53.94722820991067</v>
      </c>
      <c r="I32" s="28">
        <f>((costOMfixcoal*Ccoal)/1000+(CFcoal*Ccoal*8766*costOMvarcoal/1000000))*'Escalation Factors'!J32</f>
        <v>131.4098267548206</v>
      </c>
      <c r="J32" s="28">
        <f>(CFcoal*Ccoal*8766*costFcoal*Hcoal)/1000000000*'Escalation Factors'!K32</f>
        <v>393.7279402898762</v>
      </c>
      <c r="N32" s="24"/>
      <c r="O32" s="24"/>
      <c r="P32" s="24"/>
    </row>
    <row r="33" spans="2:16" ht="12.75">
      <c r="B33" t="s">
        <v>228</v>
      </c>
      <c r="C33" s="19">
        <v>19</v>
      </c>
      <c r="D33" s="19">
        <v>2032</v>
      </c>
      <c r="F33" s="28"/>
      <c r="G33" s="28">
        <f>'Table 5 LCOE inputs'!I58*SUM(F$9:F$14)</f>
        <v>117.26897717709224</v>
      </c>
      <c r="H33" s="28">
        <f>costKcoalI*Ccoal*'Escalation Factors'!I33/1000</f>
        <v>55.565645056207984</v>
      </c>
      <c r="I33" s="28">
        <f>((costOMfixcoal*Ccoal)/1000+(CFcoal*Ccoal*8766*costOMvarcoal/1000000))*'Escalation Factors'!J33</f>
        <v>136.70564277303987</v>
      </c>
      <c r="J33" s="28">
        <f>(CFcoal*Ccoal*8766*costFcoal*Hcoal)/1000000000*'Escalation Factors'!K33</f>
        <v>407.5674773910653</v>
      </c>
      <c r="N33" s="24"/>
      <c r="O33" s="24"/>
      <c r="P33" s="24"/>
    </row>
    <row r="34" spans="2:16" ht="12.75">
      <c r="B34" t="s">
        <v>229</v>
      </c>
      <c r="C34" s="19">
        <v>20</v>
      </c>
      <c r="D34" s="19">
        <v>2033</v>
      </c>
      <c r="F34" s="28"/>
      <c r="G34" s="28">
        <f>'Table 5 LCOE inputs'!I59*SUM(F$9:F$14)</f>
        <v>117.24269546997054</v>
      </c>
      <c r="H34" s="28">
        <f>costKcoalI*Ccoal*'Escalation Factors'!I34/1000</f>
        <v>57.23261440789423</v>
      </c>
      <c r="I34" s="28">
        <f>((costOMfixcoal*Ccoal)/1000+(CFcoal*Ccoal*8766*costOMvarcoal/1000000))*'Escalation Factors'!J34</f>
        <v>142.2148801767934</v>
      </c>
      <c r="J34" s="28">
        <f>(CFcoal*Ccoal*8766*costFcoal*Hcoal)/1000000000*'Escalation Factors'!K34</f>
        <v>421.89347422136126</v>
      </c>
      <c r="N34" s="24"/>
      <c r="O34" s="24"/>
      <c r="P34" s="24"/>
    </row>
    <row r="35" spans="2:16" ht="12.75">
      <c r="B35" t="s">
        <v>230</v>
      </c>
      <c r="C35" s="19">
        <v>21</v>
      </c>
      <c r="D35" s="19">
        <v>2034</v>
      </c>
      <c r="F35" s="28"/>
      <c r="G35" s="28">
        <f>'Table 5 LCOE inputs'!I60*SUM(F$9:F$14)</f>
        <v>58.63448858854612</v>
      </c>
      <c r="H35" s="28">
        <f>costKcoalI*Ccoal*'Escalation Factors'!I35/1000</f>
        <v>58.949592840131054</v>
      </c>
      <c r="I35" s="28">
        <f>((costOMfixcoal*Ccoal)/1000+(CFcoal*Ccoal*8766*costOMvarcoal/1000000))*'Escalation Factors'!J35</f>
        <v>147.94613984791818</v>
      </c>
      <c r="J35" s="28">
        <f>(CFcoal*Ccoal*8766*costFcoal*Hcoal)/1000000000*'Escalation Factors'!K35</f>
        <v>436.7230298402422</v>
      </c>
      <c r="N35" s="24"/>
      <c r="O35" s="24"/>
      <c r="P35" s="24"/>
    </row>
    <row r="36" spans="2:16" ht="12.75">
      <c r="B36" t="s">
        <v>231</v>
      </c>
      <c r="C36" s="19">
        <v>22</v>
      </c>
      <c r="D36" s="19">
        <v>2035</v>
      </c>
      <c r="F36" s="28"/>
      <c r="G36" s="28"/>
      <c r="H36" s="28">
        <f>costKcoalI*Ccoal*'Escalation Factors'!I36/1000</f>
        <v>60.71808062533498</v>
      </c>
      <c r="I36" s="28">
        <f>((costOMfixcoal*Ccoal)/1000+(CFcoal*Ccoal*8766*costOMvarcoal/1000000))*'Escalation Factors'!J36</f>
        <v>153.90836928378926</v>
      </c>
      <c r="J36" s="28">
        <f>(CFcoal*Ccoal*8766*costFcoal*Hcoal)/1000000000*'Escalation Factors'!K36</f>
        <v>452.0738443391267</v>
      </c>
      <c r="N36" s="24"/>
      <c r="O36" s="24"/>
      <c r="P36" s="24"/>
    </row>
    <row r="37" spans="2:16" ht="12.75">
      <c r="B37" t="s">
        <v>232</v>
      </c>
      <c r="C37" s="19">
        <v>23</v>
      </c>
      <c r="D37" s="19">
        <v>2036</v>
      </c>
      <c r="F37" s="28"/>
      <c r="G37" s="28"/>
      <c r="H37" s="28">
        <f>costKcoalI*Ccoal*'Escalation Factors'!I37/1000</f>
        <v>62.53962304409502</v>
      </c>
      <c r="I37" s="28">
        <f>((costOMfixcoal*Ccoal)/1000+(CFcoal*Ccoal*8766*costOMvarcoal/1000000))*'Escalation Factors'!J37</f>
        <v>160.11087656592593</v>
      </c>
      <c r="J37" s="28">
        <f>(CFcoal*Ccoal*8766*costFcoal*Hcoal)/1000000000*'Escalation Factors'!K37</f>
        <v>467.96423996764696</v>
      </c>
      <c r="N37" s="24"/>
      <c r="O37" s="24"/>
      <c r="P37" s="24"/>
    </row>
    <row r="38" spans="2:16" ht="12.75">
      <c r="B38" t="s">
        <v>233</v>
      </c>
      <c r="C38" s="19">
        <v>24</v>
      </c>
      <c r="D38" s="19">
        <v>2037</v>
      </c>
      <c r="F38" s="28"/>
      <c r="G38" s="28"/>
      <c r="H38" s="28">
        <f>costKcoalI*Ccoal*'Escalation Factors'!I38/1000</f>
        <v>64.41581173541788</v>
      </c>
      <c r="I38" s="28">
        <f>((costOMfixcoal*Ccoal)/1000+(CFcoal*Ccoal*8766*costOMvarcoal/1000000))*'Escalation Factors'!J38</f>
        <v>166.56334489153278</v>
      </c>
      <c r="J38" s="28">
        <f>(CFcoal*Ccoal*8766*costFcoal*Hcoal)/1000000000*'Escalation Factors'!K38</f>
        <v>484.4131830025098</v>
      </c>
      <c r="N38" s="24"/>
      <c r="O38" s="24"/>
      <c r="P38" s="24"/>
    </row>
    <row r="39" spans="2:16" ht="12.75">
      <c r="B39" t="s">
        <v>234</v>
      </c>
      <c r="C39" s="19">
        <v>25</v>
      </c>
      <c r="D39" s="19">
        <v>2038</v>
      </c>
      <c r="F39" s="28"/>
      <c r="G39" s="28"/>
      <c r="H39" s="28">
        <f>costKcoalI*Ccoal*'Escalation Factors'!I39/1000</f>
        <v>66.34828608748043</v>
      </c>
      <c r="I39" s="28">
        <f>((costOMfixcoal*Ccoal)/1000+(CFcoal*Ccoal*8766*costOMvarcoal/1000000))*'Escalation Factors'!J39</f>
        <v>173.27584769066155</v>
      </c>
      <c r="J39" s="28">
        <f>(CFcoal*Ccoal*8766*costFcoal*Hcoal)/1000000000*'Escalation Factors'!K39</f>
        <v>501.4403063850481</v>
      </c>
      <c r="N39" s="24"/>
      <c r="O39" s="24"/>
      <c r="P39" s="24"/>
    </row>
    <row r="40" spans="2:16" ht="12.75">
      <c r="B40" t="s">
        <v>235</v>
      </c>
      <c r="C40" s="19">
        <v>26</v>
      </c>
      <c r="D40" s="19">
        <v>2039</v>
      </c>
      <c r="F40" s="28"/>
      <c r="G40" s="28"/>
      <c r="H40" s="28">
        <f>costKcoalI*Ccoal*'Escalation Factors'!I40/1000</f>
        <v>68.33873467010483</v>
      </c>
      <c r="I40" s="28">
        <f>((costOMfixcoal*Ccoal)/1000+(CFcoal*Ccoal*8766*costOMvarcoal/1000000))*'Escalation Factors'!J40</f>
        <v>180.2588643525952</v>
      </c>
      <c r="J40" s="28">
        <f>(CFcoal*Ccoal*8766*costFcoal*Hcoal)/1000000000*'Escalation Factors'!K40</f>
        <v>519.0659331544824</v>
      </c>
      <c r="N40" s="24"/>
      <c r="O40" s="24"/>
      <c r="P40" s="24"/>
    </row>
    <row r="41" spans="2:16" ht="12.75">
      <c r="B41" t="s">
        <v>236</v>
      </c>
      <c r="C41" s="19">
        <v>27</v>
      </c>
      <c r="D41" s="19">
        <v>2040</v>
      </c>
      <c r="F41" s="28"/>
      <c r="G41" s="28"/>
      <c r="H41" s="28">
        <f>costKcoalI*Ccoal*'Escalation Factors'!I41/1000</f>
        <v>70.38889671020797</v>
      </c>
      <c r="I41" s="28">
        <f>((costOMfixcoal*Ccoal)/1000+(CFcoal*Ccoal*8766*costOMvarcoal/1000000))*'Escalation Factors'!J41</f>
        <v>187.5232965860048</v>
      </c>
      <c r="J41" s="28">
        <f>(CFcoal*Ccoal*8766*costFcoal*Hcoal)/1000000000*'Escalation Factors'!K41</f>
        <v>537.3111007048626</v>
      </c>
      <c r="N41" s="24"/>
      <c r="O41" s="24"/>
      <c r="P41" s="24"/>
    </row>
    <row r="42" spans="2:16" ht="12.75">
      <c r="B42" t="s">
        <v>237</v>
      </c>
      <c r="C42" s="19">
        <v>28</v>
      </c>
      <c r="D42" s="19">
        <v>2041</v>
      </c>
      <c r="F42" s="28"/>
      <c r="G42" s="28"/>
      <c r="H42" s="28">
        <f>costKcoalI*Ccoal*'Escalation Factors'!I42/1000</f>
        <v>72.5005636115142</v>
      </c>
      <c r="I42" s="28">
        <f>((costOMfixcoal*Ccoal)/1000+(CFcoal*Ccoal*8766*costOMvarcoal/1000000))*'Escalation Factors'!J42</f>
        <v>195.08048543842077</v>
      </c>
      <c r="J42" s="28">
        <f>(CFcoal*Ccoal*8766*costFcoal*Hcoal)/1000000000*'Escalation Factors'!K42</f>
        <v>556.1975858946385</v>
      </c>
      <c r="N42" s="24"/>
      <c r="O42" s="24"/>
      <c r="P42" s="24"/>
    </row>
    <row r="43" spans="2:16" ht="12.75">
      <c r="B43" t="s">
        <v>238</v>
      </c>
      <c r="C43" s="19">
        <v>29</v>
      </c>
      <c r="D43" s="19">
        <v>2042</v>
      </c>
      <c r="F43" s="28"/>
      <c r="G43" s="28"/>
      <c r="H43" s="28">
        <f>costKcoalI*Ccoal*'Escalation Factors'!I43/1000</f>
        <v>74.67558051985964</v>
      </c>
      <c r="I43" s="28">
        <f>((costOMfixcoal*Ccoal)/1000+(CFcoal*Ccoal*8766*costOMvarcoal/1000000))*'Escalation Factors'!J43</f>
        <v>202.94222900158914</v>
      </c>
      <c r="J43" s="28">
        <f>(CFcoal*Ccoal*8766*costFcoal*Hcoal)/1000000000*'Escalation Factors'!K43</f>
        <v>575.7479310388351</v>
      </c>
      <c r="N43" s="24"/>
      <c r="O43" s="24"/>
      <c r="P43" s="24"/>
    </row>
    <row r="44" spans="2:16" ht="12.75">
      <c r="B44" t="s">
        <v>239</v>
      </c>
      <c r="C44" s="19">
        <v>30</v>
      </c>
      <c r="D44" s="19">
        <v>2043</v>
      </c>
      <c r="F44" s="28"/>
      <c r="G44" s="28"/>
      <c r="H44" s="28">
        <f>costKcoalI*Ccoal*'Escalation Factors'!I44/1000</f>
        <v>76.91584793545543</v>
      </c>
      <c r="I44" s="28">
        <f>((costOMfixcoal*Ccoal)/1000+(CFcoal*Ccoal*8766*costOMvarcoal/1000000))*'Escalation Factors'!J44</f>
        <v>211.12080083035315</v>
      </c>
      <c r="J44" s="28">
        <f>(CFcoal*Ccoal*8766*costFcoal*Hcoal)/1000000000*'Escalation Factors'!K44</f>
        <v>595.9854708148501</v>
      </c>
      <c r="N44" s="24"/>
      <c r="O44" s="24"/>
      <c r="P44" s="24"/>
    </row>
    <row r="45" spans="2:16" ht="12.75">
      <c r="B45" t="s">
        <v>240</v>
      </c>
      <c r="C45" s="19">
        <v>31</v>
      </c>
      <c r="D45" s="19">
        <v>2044</v>
      </c>
      <c r="F45" s="28"/>
      <c r="G45" s="28"/>
      <c r="H45" s="28">
        <f>costKcoalI*Ccoal*'Escalation Factors'!I45/1000</f>
        <v>79.22332337351908</v>
      </c>
      <c r="I45" s="28">
        <f>((costOMfixcoal*Ccoal)/1000+(CFcoal*Ccoal*8766*costOMvarcoal/1000000))*'Escalation Factors'!J45</f>
        <v>219.6289691038164</v>
      </c>
      <c r="J45" s="28">
        <f>(CFcoal*Ccoal*8766*costFcoal*Hcoal)/1000000000*'Escalation Factors'!K45</f>
        <v>616.934360113992</v>
      </c>
      <c r="N45" s="24"/>
      <c r="O45" s="24"/>
      <c r="P45" s="24"/>
    </row>
    <row r="46" spans="2:16" ht="12.75">
      <c r="B46" t="s">
        <v>241</v>
      </c>
      <c r="C46" s="19">
        <v>32</v>
      </c>
      <c r="D46" s="19">
        <v>2045</v>
      </c>
      <c r="F46" s="28"/>
      <c r="G46" s="28"/>
      <c r="H46" s="28">
        <f>costKcoalI*Ccoal*'Escalation Factors'!I46/1000</f>
        <v>81.60002307472465</v>
      </c>
      <c r="I46" s="28">
        <f>((costOMfixcoal*Ccoal)/1000+(CFcoal*Ccoal*8766*costOMvarcoal/1000000))*'Escalation Factors'!J46</f>
        <v>228.48001655870019</v>
      </c>
      <c r="J46" s="28">
        <f>(CFcoal*Ccoal*8766*costFcoal*Hcoal)/1000000000*'Escalation Factors'!K46</f>
        <v>638.619602871999</v>
      </c>
      <c r="N46" s="24"/>
      <c r="O46" s="24"/>
      <c r="P46" s="24"/>
    </row>
    <row r="47" spans="2:16" ht="12.75">
      <c r="B47" t="s">
        <v>242</v>
      </c>
      <c r="C47" s="19">
        <v>33</v>
      </c>
      <c r="D47" s="19">
        <v>2046</v>
      </c>
      <c r="F47" s="28"/>
      <c r="G47" s="28"/>
      <c r="H47" s="28">
        <f>costKcoalI*Ccoal*'Escalation Factors'!I47/1000</f>
        <v>84.0480237669664</v>
      </c>
      <c r="I47" s="28">
        <f>((costOMfixcoal*Ccoal)/1000+(CFcoal*Ccoal*8766*costOMvarcoal/1000000))*'Escalation Factors'!J47</f>
        <v>237.68776122601582</v>
      </c>
      <c r="J47" s="28">
        <f>(CFcoal*Ccoal*8766*costFcoal*Hcoal)/1000000000*'Escalation Factors'!K47</f>
        <v>661.0670819129498</v>
      </c>
      <c r="N47" s="24"/>
      <c r="O47" s="24"/>
      <c r="P47" s="24"/>
    </row>
    <row r="48" spans="2:16" ht="12.75">
      <c r="B48" t="s">
        <v>243</v>
      </c>
      <c r="C48" s="19">
        <v>34</v>
      </c>
      <c r="D48" s="19">
        <v>2047</v>
      </c>
      <c r="F48" s="28"/>
      <c r="G48" s="28"/>
      <c r="H48" s="28">
        <f>costKcoalI*Ccoal*'Escalation Factors'!I48/1000</f>
        <v>86.56946447997538</v>
      </c>
      <c r="I48" s="28">
        <f>((costOMfixcoal*Ccoal)/1000+(CFcoal*Ccoal*8766*costOMvarcoal/1000000))*'Escalation Factors'!J48</f>
        <v>247.26657800342423</v>
      </c>
      <c r="J48" s="28">
        <f>(CFcoal*Ccoal*8766*costFcoal*Hcoal)/1000000000*'Escalation Factors'!K48</f>
        <v>684.3035898421898</v>
      </c>
      <c r="N48" s="24"/>
      <c r="O48" s="24"/>
      <c r="P48" s="24"/>
    </row>
    <row r="49" spans="2:16" ht="12.75">
      <c r="B49" t="s">
        <v>244</v>
      </c>
      <c r="C49" s="19">
        <v>35</v>
      </c>
      <c r="D49" s="19">
        <v>2048</v>
      </c>
      <c r="F49" s="28"/>
      <c r="G49" s="28"/>
      <c r="H49" s="28">
        <f>costKcoalI*Ccoal*'Escalation Factors'!I49/1000</f>
        <v>89.16654841437465</v>
      </c>
      <c r="I49" s="28">
        <f>((costOMfixcoal*Ccoal)/1000+(CFcoal*Ccoal*8766*costOMvarcoal/1000000))*'Escalation Factors'!J49</f>
        <v>257.23142109696215</v>
      </c>
      <c r="J49" s="28">
        <f>(CFcoal*Ccoal*8766*costFcoal*Hcoal)/1000000000*'Escalation Factors'!K49</f>
        <v>708.3568610251428</v>
      </c>
      <c r="N49" s="24"/>
      <c r="O49" s="24"/>
      <c r="P49" s="24"/>
    </row>
    <row r="50" spans="2:16" ht="12.75">
      <c r="B50" t="s">
        <v>245</v>
      </c>
      <c r="C50" s="19">
        <v>36</v>
      </c>
      <c r="D50" s="19">
        <v>2049</v>
      </c>
      <c r="F50" s="28"/>
      <c r="G50" s="28"/>
      <c r="H50" s="28">
        <f>costKcoalI*Ccoal*'Escalation Factors'!I50/1000</f>
        <v>91.84154486680588</v>
      </c>
      <c r="I50" s="28">
        <f>((costOMfixcoal*Ccoal)/1000+(CFcoal*Ccoal*8766*costOMvarcoal/1000000))*'Escalation Factors'!J50</f>
        <v>267.5978473671698</v>
      </c>
      <c r="J50" s="28">
        <f>(CFcoal*Ccoal*8766*costFcoal*Hcoal)/1000000000*'Escalation Factors'!K50</f>
        <v>733.2556046901767</v>
      </c>
      <c r="N50" s="24"/>
      <c r="O50" s="24"/>
      <c r="P50" s="24"/>
    </row>
    <row r="51" spans="2:16" ht="12.75">
      <c r="B51" t="s">
        <v>246</v>
      </c>
      <c r="C51" s="19">
        <v>37</v>
      </c>
      <c r="D51" s="19">
        <v>2050</v>
      </c>
      <c r="F51" s="28"/>
      <c r="G51" s="28"/>
      <c r="H51" s="28">
        <f>costKcoalI*Ccoal*'Escalation Factors'!I51/1000</f>
        <v>94.59679121281006</v>
      </c>
      <c r="I51" s="28">
        <f>((costOMfixcoal*Ccoal)/1000+(CFcoal*Ccoal*8766*costOMvarcoal/1000000))*'Escalation Factors'!J51</f>
        <v>278.3820406160667</v>
      </c>
      <c r="J51" s="28">
        <f>(CFcoal*Ccoal*8766*costFcoal*Hcoal)/1000000000*'Escalation Factors'!K51</f>
        <v>759.0295391950364</v>
      </c>
      <c r="N51" s="24"/>
      <c r="O51" s="24"/>
      <c r="P51" s="24"/>
    </row>
    <row r="52" spans="2:16" ht="12.75">
      <c r="B52" t="s">
        <v>247</v>
      </c>
      <c r="C52" s="19">
        <v>38</v>
      </c>
      <c r="D52" s="19">
        <v>2051</v>
      </c>
      <c r="F52" s="28"/>
      <c r="G52" s="28"/>
      <c r="H52" s="28">
        <f>costKcoalI*Ccoal*'Escalation Factors'!I52/1000</f>
        <v>97.43469494919435</v>
      </c>
      <c r="I52" s="28">
        <f>((costOMfixcoal*Ccoal)/1000+(CFcoal*Ccoal*8766*costOMvarcoal/1000000))*'Escalation Factors'!J52</f>
        <v>289.6008368528942</v>
      </c>
      <c r="J52" s="28">
        <f>(CFcoal*Ccoal*8766*costFcoal*Hcoal)/1000000000*'Escalation Factors'!K52</f>
        <v>785.7094274977419</v>
      </c>
      <c r="N52" s="24"/>
      <c r="O52" s="24"/>
      <c r="P52" s="24"/>
    </row>
    <row r="53" spans="2:16" ht="12.75">
      <c r="B53" t="s">
        <v>248</v>
      </c>
      <c r="C53" s="19">
        <v>39</v>
      </c>
      <c r="D53" s="19">
        <v>2052</v>
      </c>
      <c r="F53" s="28"/>
      <c r="G53" s="28"/>
      <c r="H53" s="28">
        <f>costKcoalI*Ccoal*'Escalation Factors'!I53/1000</f>
        <v>100.35773579767017</v>
      </c>
      <c r="I53" s="28">
        <f>((costOMfixcoal*Ccoal)/1000+(CFcoal*Ccoal*8766*costOMvarcoal/1000000))*'Escalation Factors'!J53</f>
        <v>301.2717505780658</v>
      </c>
      <c r="J53" s="28">
        <f>(CFcoal*Ccoal*8766*costFcoal*Hcoal)/1000000000*'Escalation Factors'!K53</f>
        <v>813.3271138742874</v>
      </c>
      <c r="N53" s="24"/>
      <c r="O53" s="24"/>
      <c r="P53" s="24"/>
    </row>
    <row r="54" spans="2:16" ht="12.75">
      <c r="B54" t="s">
        <v>249</v>
      </c>
      <c r="C54" s="19">
        <v>40</v>
      </c>
      <c r="D54" s="19">
        <v>2053</v>
      </c>
      <c r="F54" s="28"/>
      <c r="G54" s="28"/>
      <c r="H54" s="28">
        <f>costKcoalI*Ccoal*'Escalation Factors'!I54/1000</f>
        <v>103.36846787160029</v>
      </c>
      <c r="I54" s="28">
        <f>((costOMfixcoal*Ccoal)/1000+(CFcoal*Ccoal*8766*costOMvarcoal/1000000))*'Escalation Factors'!J54</f>
        <v>313.4130021263619</v>
      </c>
      <c r="J54" s="28">
        <f>(CFcoal*Ccoal*8766*costFcoal*Hcoal)/1000000000*'Escalation Factors'!K54</f>
        <v>841.9155619269687</v>
      </c>
      <c r="N54" s="24"/>
      <c r="O54" s="24"/>
      <c r="P54" s="24"/>
    </row>
    <row r="55" spans="1:11" ht="13.5" thickBot="1">
      <c r="A55" s="9"/>
      <c r="B55" s="43"/>
      <c r="C55" s="75"/>
      <c r="D55" s="75"/>
      <c r="E55" s="9"/>
      <c r="F55" s="9"/>
      <c r="G55" s="9"/>
      <c r="H55" s="79"/>
      <c r="I55" s="9"/>
      <c r="J55" s="9"/>
      <c r="K55" s="9"/>
    </row>
    <row r="56" ht="12.75">
      <c r="L56" s="164"/>
    </row>
    <row r="57" ht="12.75">
      <c r="B57" s="15" t="s">
        <v>177</v>
      </c>
    </row>
    <row r="58" spans="2:3" ht="12.75">
      <c r="B58" s="15" t="s">
        <v>155</v>
      </c>
      <c r="C58" s="99" t="s">
        <v>562</v>
      </c>
    </row>
    <row r="59" spans="2:3" ht="12.75">
      <c r="B59" s="15" t="s">
        <v>156</v>
      </c>
      <c r="C59" s="99" t="s">
        <v>563</v>
      </c>
    </row>
    <row r="60" spans="2:3" ht="12.75">
      <c r="B60" s="15" t="s">
        <v>157</v>
      </c>
      <c r="C60" s="99" t="s">
        <v>578</v>
      </c>
    </row>
    <row r="61" spans="2:3" ht="12.75">
      <c r="B61" s="15" t="s">
        <v>158</v>
      </c>
      <c r="C61" s="99" t="s">
        <v>565</v>
      </c>
    </row>
    <row r="62" spans="2:3" ht="12.75">
      <c r="B62" s="15" t="s">
        <v>159</v>
      </c>
      <c r="C62" s="99" t="s">
        <v>566</v>
      </c>
    </row>
    <row r="63" spans="2:3" ht="12.75">
      <c r="B63" s="15"/>
      <c r="C63" s="99"/>
    </row>
    <row r="64" ht="12.75">
      <c r="C64" s="32"/>
    </row>
  </sheetData>
  <sheetProtection/>
  <printOptions horizontalCentered="1"/>
  <pageMargins left="0.75" right="0.5" top="1" bottom="1" header="0.5" footer="0.5"/>
  <pageSetup fitToHeight="2" orientation="portrait" scale="90" r:id="rId1"/>
  <rowBreaks count="1" manualBreakCount="1">
    <brk id="30" max="11" man="1"/>
  </rowBreaks>
</worksheet>
</file>

<file path=xl/worksheets/sheet13.xml><?xml version="1.0" encoding="utf-8"?>
<worksheet xmlns="http://schemas.openxmlformats.org/spreadsheetml/2006/main" xmlns:r="http://schemas.openxmlformats.org/officeDocument/2006/relationships">
  <dimension ref="A1:K113"/>
  <sheetViews>
    <sheetView zoomScalePageLayoutView="0" workbookViewId="0" topLeftCell="A46">
      <selection activeCell="J60" sqref="J60"/>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10" width="11.8515625" style="0" customWidth="1"/>
    <col min="11" max="11" width="2.8515625" style="0" customWidth="1"/>
  </cols>
  <sheetData>
    <row r="1" spans="8:11" ht="12.75">
      <c r="H1" s="20"/>
      <c r="K1" s="20"/>
    </row>
    <row r="2" spans="8:11" ht="12.75">
      <c r="H2" s="20"/>
      <c r="K2" s="20"/>
    </row>
    <row r="3" spans="1:11" ht="16.5" thickBot="1">
      <c r="A3" s="9"/>
      <c r="B3" s="42" t="s">
        <v>310</v>
      </c>
      <c r="C3" s="75"/>
      <c r="D3" s="75"/>
      <c r="E3" s="9"/>
      <c r="F3" s="9"/>
      <c r="G3" s="9"/>
      <c r="H3" s="79"/>
      <c r="I3" s="9"/>
      <c r="J3" s="9"/>
      <c r="K3" s="79"/>
    </row>
    <row r="4" spans="2:11" ht="15.75">
      <c r="B4" s="74"/>
      <c r="H4" s="20"/>
      <c r="K4" s="20"/>
    </row>
    <row r="5" spans="2:11" ht="39">
      <c r="B5" s="74"/>
      <c r="F5" s="22" t="s">
        <v>117</v>
      </c>
      <c r="G5" s="101"/>
      <c r="H5" s="101"/>
      <c r="I5" s="19"/>
      <c r="K5" s="20"/>
    </row>
    <row r="6" spans="2:11" ht="39">
      <c r="B6" s="74"/>
      <c r="C6" s="22" t="s">
        <v>72</v>
      </c>
      <c r="D6" s="22" t="s">
        <v>73</v>
      </c>
      <c r="E6" s="22"/>
      <c r="F6" s="23" t="s">
        <v>114</v>
      </c>
      <c r="G6" s="101" t="s">
        <v>143</v>
      </c>
      <c r="H6" s="23" t="s">
        <v>110</v>
      </c>
      <c r="I6" s="19" t="s">
        <v>115</v>
      </c>
      <c r="J6" s="23" t="s">
        <v>111</v>
      </c>
      <c r="K6" s="20"/>
    </row>
    <row r="7" spans="1:10" s="22" customFormat="1" ht="12.75" customHeight="1">
      <c r="A7" s="37"/>
      <c r="B7" s="74"/>
      <c r="C7" s="80" t="s">
        <v>153</v>
      </c>
      <c r="D7" s="80" t="s">
        <v>154</v>
      </c>
      <c r="E7" s="80"/>
      <c r="F7" s="81" t="s">
        <v>155</v>
      </c>
      <c r="G7" s="103" t="s">
        <v>156</v>
      </c>
      <c r="H7" s="81" t="s">
        <v>157</v>
      </c>
      <c r="I7" s="103" t="s">
        <v>158</v>
      </c>
      <c r="J7" s="81" t="s">
        <v>159</v>
      </c>
    </row>
    <row r="8" spans="1:11" s="22" customFormat="1" ht="12.75" customHeight="1">
      <c r="A8" s="17"/>
      <c r="B8" s="50"/>
      <c r="F8" s="23"/>
      <c r="G8" s="23"/>
      <c r="H8" s="101"/>
      <c r="I8" s="23"/>
      <c r="J8" s="23"/>
      <c r="K8" s="101"/>
    </row>
    <row r="9" spans="6:11" ht="12.75">
      <c r="F9" s="30"/>
      <c r="G9" s="30"/>
      <c r="H9" s="30"/>
      <c r="I9" s="30"/>
      <c r="J9" s="30"/>
      <c r="K9" s="20"/>
    </row>
    <row r="10" spans="2:11" ht="12.75">
      <c r="B10" s="46" t="s">
        <v>160</v>
      </c>
      <c r="C10" s="19">
        <v>-4</v>
      </c>
      <c r="D10" s="19">
        <v>2009</v>
      </c>
      <c r="F10" s="30"/>
      <c r="G10" s="30"/>
      <c r="H10" s="30"/>
      <c r="I10" s="30"/>
      <c r="J10" s="30"/>
      <c r="K10" s="20"/>
    </row>
    <row r="11" spans="2:11" ht="12.75">
      <c r="B11" s="46" t="s">
        <v>161</v>
      </c>
      <c r="C11" s="19">
        <v>-3</v>
      </c>
      <c r="D11" s="19">
        <v>2010</v>
      </c>
      <c r="F11" s="30">
        <f>'Table 8A LCOE Coal cash flow'!F11</f>
        <v>366.9377266</v>
      </c>
      <c r="G11" s="30"/>
      <c r="H11" s="30"/>
      <c r="I11" s="30"/>
      <c r="J11" s="30">
        <f aca="true" t="shared" si="0" ref="J11:J54">SUM(F11:I11)</f>
        <v>366.9377266</v>
      </c>
      <c r="K11" s="20"/>
    </row>
    <row r="12" spans="2:11" ht="12.75">
      <c r="B12" s="46" t="s">
        <v>162</v>
      </c>
      <c r="C12" s="19">
        <v>-2</v>
      </c>
      <c r="D12" s="19">
        <v>2011</v>
      </c>
      <c r="F12" s="30">
        <f>'Table 8A LCOE Coal cash flow'!F12</f>
        <v>916.389273102</v>
      </c>
      <c r="G12" s="30"/>
      <c r="H12" s="30"/>
      <c r="I12" s="30"/>
      <c r="J12" s="30">
        <f t="shared" si="0"/>
        <v>916.389273102</v>
      </c>
      <c r="K12" s="20"/>
    </row>
    <row r="13" spans="2:11" ht="12.75">
      <c r="B13" s="46" t="s">
        <v>163</v>
      </c>
      <c r="C13" s="19">
        <v>-1</v>
      </c>
      <c r="D13" s="19">
        <v>2012</v>
      </c>
      <c r="F13" s="30">
        <f>'Table 8A LCOE Coal cash flow'!F13</f>
        <v>943.88095129506</v>
      </c>
      <c r="G13" s="30"/>
      <c r="H13" s="30"/>
      <c r="I13" s="30"/>
      <c r="J13" s="30">
        <f t="shared" si="0"/>
        <v>943.88095129506</v>
      </c>
      <c r="K13" s="20"/>
    </row>
    <row r="14" spans="2:11" ht="12.75">
      <c r="B14" s="46" t="s">
        <v>164</v>
      </c>
      <c r="C14" s="19">
        <v>0</v>
      </c>
      <c r="D14" s="19">
        <v>2013</v>
      </c>
      <c r="F14" s="30">
        <f>'Table 8A LCOE Coal cash flow'!F14</f>
        <v>400.9627611744382</v>
      </c>
      <c r="G14" s="30"/>
      <c r="H14" s="30"/>
      <c r="I14" s="30"/>
      <c r="J14" s="30">
        <f t="shared" si="0"/>
        <v>400.9627611744382</v>
      </c>
      <c r="K14" s="20"/>
    </row>
    <row r="15" spans="2:11" ht="12.75">
      <c r="B15" s="46" t="s">
        <v>165</v>
      </c>
      <c r="C15" s="19">
        <v>1</v>
      </c>
      <c r="D15" s="19">
        <v>2014</v>
      </c>
      <c r="F15" s="30">
        <f>-Taxcoal*'Table 8A LCOE Coal cash flow'!G15</f>
        <v>-36.465868631379536</v>
      </c>
      <c r="G15" s="30">
        <f>(1-Taxcoal)*'Table 8A LCOE Coal cash flow'!H15</f>
        <v>20.56254497308427</v>
      </c>
      <c r="H15" s="30">
        <f>(1-Taxcoal)*'Table 8A LCOE Coal cash flow'!I15</f>
        <v>42.29336280644456</v>
      </c>
      <c r="I15" s="30">
        <f>(1-Taxcoal)*('Table 8A LCOE Coal cash flow'!J15)</f>
        <v>137.87353618139898</v>
      </c>
      <c r="J15" s="30">
        <f t="shared" si="0"/>
        <v>164.26357532954827</v>
      </c>
      <c r="K15" s="20"/>
    </row>
    <row r="16" spans="2:11" ht="12.75">
      <c r="B16" s="46" t="s">
        <v>166</v>
      </c>
      <c r="C16" s="19">
        <v>2</v>
      </c>
      <c r="D16" s="19">
        <v>2015</v>
      </c>
      <c r="F16" s="30">
        <f>-Taxcoal*'Table 8A LCOE Coal cash flow'!G16</f>
        <v>-70.19922817331437</v>
      </c>
      <c r="G16" s="30">
        <f>(1-Taxcoal)*'Table 8A LCOE Coal cash flow'!H16</f>
        <v>21.179421322276795</v>
      </c>
      <c r="H16" s="30">
        <f>(1-Taxcoal)*'Table 8A LCOE Coal cash flow'!I16</f>
        <v>43.99778532754428</v>
      </c>
      <c r="I16" s="30">
        <f>(1-Taxcoal)*('Table 8A LCOE Coal cash flow'!J16)</f>
        <v>142.71979097817515</v>
      </c>
      <c r="J16" s="30">
        <f t="shared" si="0"/>
        <v>137.69776945468186</v>
      </c>
      <c r="K16" s="20"/>
    </row>
    <row r="17" spans="2:11" ht="12.75">
      <c r="B17" s="46" t="s">
        <v>167</v>
      </c>
      <c r="C17" s="19">
        <v>3</v>
      </c>
      <c r="D17" s="19">
        <v>2016</v>
      </c>
      <c r="F17" s="30">
        <f>-Taxcoal*'Table 8A LCOE Coal cash flow'!G17</f>
        <v>-64.92869462712564</v>
      </c>
      <c r="G17" s="30">
        <f>(1-Taxcoal)*'Table 8A LCOE Coal cash flow'!H17</f>
        <v>21.814803961945103</v>
      </c>
      <c r="H17" s="30">
        <f>(1-Taxcoal)*'Table 8A LCOE Coal cash flow'!I17</f>
        <v>45.770896076244306</v>
      </c>
      <c r="I17" s="30">
        <f>(1-Taxcoal)*('Table 8A LCOE Coal cash flow'!J17)</f>
        <v>147.73639163105798</v>
      </c>
      <c r="J17" s="30">
        <f t="shared" si="0"/>
        <v>150.39339704212176</v>
      </c>
      <c r="K17" s="20"/>
    </row>
    <row r="18" spans="2:11" ht="12.75">
      <c r="B18" s="46" t="s">
        <v>168</v>
      </c>
      <c r="C18" s="19">
        <v>4</v>
      </c>
      <c r="D18" s="19">
        <v>2017</v>
      </c>
      <c r="F18" s="30">
        <f>-Taxcoal*'Table 8A LCOE Coal cash flow'!G18</f>
        <v>-60.06657880960837</v>
      </c>
      <c r="G18" s="30">
        <f>(1-Taxcoal)*'Table 8A LCOE Coal cash flow'!H18</f>
        <v>22.469248080803453</v>
      </c>
      <c r="H18" s="30">
        <f>(1-Taxcoal)*'Table 8A LCOE Coal cash flow'!I18</f>
        <v>47.615463188116955</v>
      </c>
      <c r="I18" s="30">
        <f>(1-Taxcoal)*('Table 8A LCOE Coal cash flow'!J18)</f>
        <v>152.92932579688969</v>
      </c>
      <c r="J18" s="30">
        <f t="shared" si="0"/>
        <v>162.9474582562017</v>
      </c>
      <c r="K18" s="20"/>
    </row>
    <row r="19" spans="2:11" ht="12.75">
      <c r="B19" s="46" t="s">
        <v>169</v>
      </c>
      <c r="C19" s="19">
        <v>5</v>
      </c>
      <c r="D19" s="19">
        <v>2018</v>
      </c>
      <c r="F19" s="30">
        <f>-Taxcoal*'Table 8A LCOE Coal cash flow'!G19</f>
        <v>-55.55453533095234</v>
      </c>
      <c r="G19" s="30">
        <f>(1-Taxcoal)*'Table 8A LCOE Coal cash flow'!H19</f>
        <v>23.143325523227553</v>
      </c>
      <c r="H19" s="30">
        <f>(1-Taxcoal)*'Table 8A LCOE Coal cash flow'!I19</f>
        <v>49.53436635459807</v>
      </c>
      <c r="I19" s="30">
        <f>(1-Taxcoal)*('Table 8A LCOE Coal cash flow'!J19)</f>
        <v>158.30479159865038</v>
      </c>
      <c r="J19" s="30">
        <f t="shared" si="0"/>
        <v>175.42794814552366</v>
      </c>
      <c r="K19" s="20"/>
    </row>
    <row r="20" spans="2:11" ht="12.75">
      <c r="B20" t="s">
        <v>170</v>
      </c>
      <c r="C20" s="19">
        <v>6</v>
      </c>
      <c r="D20" s="19">
        <v>2019</v>
      </c>
      <c r="F20" s="30">
        <f>-Taxcoal*'Table 8A LCOE Coal cash flow'!G20</f>
        <v>-51.39256419115756</v>
      </c>
      <c r="G20" s="30">
        <f>(1-Taxcoal)*'Table 8A LCOE Coal cash flow'!H20</f>
        <v>23.837625288924382</v>
      </c>
      <c r="H20" s="30">
        <f>(1-Taxcoal)*'Table 8A LCOE Coal cash flow'!I20</f>
        <v>51.53060131868836</v>
      </c>
      <c r="I20" s="30">
        <f>(1-Taxcoal)*('Table 8A LCOE Coal cash flow'!J20)</f>
        <v>163.86920502334291</v>
      </c>
      <c r="J20" s="30">
        <f t="shared" si="0"/>
        <v>187.8448674397981</v>
      </c>
      <c r="K20" s="20"/>
    </row>
    <row r="21" spans="2:11" ht="12.75">
      <c r="B21" t="s">
        <v>171</v>
      </c>
      <c r="C21" s="19">
        <v>7</v>
      </c>
      <c r="D21" s="19">
        <v>2020</v>
      </c>
      <c r="F21" s="30">
        <f>-Taxcoal*'Table 8A LCOE Coal cash flow'!G21</f>
        <v>-47.53204423204885</v>
      </c>
      <c r="G21" s="30">
        <f>(1-Taxcoal)*'Table 8A LCOE Coal cash flow'!H21</f>
        <v>24.55275404759211</v>
      </c>
      <c r="H21" s="30">
        <f>(1-Taxcoal)*'Table 8A LCOE Coal cash flow'!I21</f>
        <v>53.607284551831505</v>
      </c>
      <c r="I21" s="30">
        <f>(1-Taxcoal)*('Table 8A LCOE Coal cash flow'!J21)</f>
        <v>169.6292075799134</v>
      </c>
      <c r="J21" s="30">
        <f t="shared" si="0"/>
        <v>200.2572019472882</v>
      </c>
      <c r="K21" s="20"/>
    </row>
    <row r="22" spans="2:11" ht="12.75">
      <c r="B22" t="s">
        <v>174</v>
      </c>
      <c r="C22" s="19">
        <v>8</v>
      </c>
      <c r="D22" s="19">
        <v>2021</v>
      </c>
      <c r="F22" s="30">
        <f>-Taxcoal*'Table 8A LCOE Coal cash flow'!G22</f>
        <v>-43.972975453626205</v>
      </c>
      <c r="G22" s="30">
        <f>(1-Taxcoal)*'Table 8A LCOE Coal cash flow'!H22</f>
        <v>25.289336669019875</v>
      </c>
      <c r="H22" s="30">
        <f>(1-Taxcoal)*'Table 8A LCOE Coal cash flow'!I22</f>
        <v>55.76765811927032</v>
      </c>
      <c r="I22" s="30">
        <f>(1-Taxcoal)*('Table 8A LCOE Coal cash flow'!J22)</f>
        <v>175.5916742263474</v>
      </c>
      <c r="J22" s="30">
        <f t="shared" si="0"/>
        <v>212.6756935610114</v>
      </c>
      <c r="K22" s="20"/>
    </row>
    <row r="23" spans="2:11" ht="12.75">
      <c r="B23" t="s">
        <v>174</v>
      </c>
      <c r="C23" s="19">
        <v>9</v>
      </c>
      <c r="D23" s="19">
        <v>2022</v>
      </c>
      <c r="F23" s="30">
        <f>-Taxcoal*'Table 8A LCOE Coal cash flow'!G23</f>
        <v>-43.38952155552413</v>
      </c>
      <c r="G23" s="30">
        <f>(1-Taxcoal)*'Table 8A LCOE Coal cash flow'!H23</f>
        <v>26.048016769090477</v>
      </c>
      <c r="H23" s="30">
        <f>(1-Taxcoal)*'Table 8A LCOE Coal cash flow'!I23</f>
        <v>58.01509474147691</v>
      </c>
      <c r="I23" s="30">
        <f>(1-Taxcoal)*('Table 8A LCOE Coal cash flow'!J23)</f>
        <v>181.76372157540354</v>
      </c>
      <c r="J23" s="30">
        <f t="shared" si="0"/>
        <v>222.43731153044678</v>
      </c>
      <c r="K23" s="20"/>
    </row>
    <row r="24" spans="2:11" ht="12.75">
      <c r="B24" t="s">
        <v>124</v>
      </c>
      <c r="C24" s="19">
        <v>10</v>
      </c>
      <c r="D24" s="19">
        <v>2023</v>
      </c>
      <c r="F24" s="30">
        <f>-Taxcoal*'Table 8A LCOE Coal cash flow'!G24</f>
        <v>-43.379797323889086</v>
      </c>
      <c r="G24" s="30">
        <f>(1-Taxcoal)*'Table 8A LCOE Coal cash flow'!H24</f>
        <v>26.829457272163182</v>
      </c>
      <c r="H24" s="30">
        <f>(1-Taxcoal)*'Table 8A LCOE Coal cash flow'!I24</f>
        <v>60.35310305955842</v>
      </c>
      <c r="I24" s="30">
        <f>(1-Taxcoal)*('Table 8A LCOE Coal cash flow'!J24)</f>
        <v>188.15271638877894</v>
      </c>
      <c r="J24" s="30">
        <f t="shared" si="0"/>
        <v>231.95547939661145</v>
      </c>
      <c r="K24" s="20"/>
    </row>
    <row r="25" spans="2:11" ht="12.75">
      <c r="B25" t="s">
        <v>221</v>
      </c>
      <c r="C25" s="19">
        <v>11</v>
      </c>
      <c r="D25" s="19">
        <v>2024</v>
      </c>
      <c r="F25" s="30">
        <f>-Taxcoal*'Table 8A LCOE Coal cash flow'!G25</f>
        <v>-43.38952155552413</v>
      </c>
      <c r="G25" s="30">
        <f>(1-Taxcoal)*'Table 8A LCOE Coal cash flow'!H25</f>
        <v>27.634340990328077</v>
      </c>
      <c r="H25" s="30">
        <f>(1-Taxcoal)*'Table 8A LCOE Coal cash flow'!I25</f>
        <v>62.78533311285863</v>
      </c>
      <c r="I25" s="30">
        <f>(1-Taxcoal)*('Table 8A LCOE Coal cash flow'!J25)</f>
        <v>194.76628436984453</v>
      </c>
      <c r="J25" s="30">
        <f t="shared" si="0"/>
        <v>241.7964369175071</v>
      </c>
      <c r="K25" s="20"/>
    </row>
    <row r="26" spans="2:11" ht="12.75">
      <c r="B26" t="s">
        <v>251</v>
      </c>
      <c r="C26" s="19">
        <v>12</v>
      </c>
      <c r="D26" s="19">
        <v>2025</v>
      </c>
      <c r="F26" s="30">
        <f>-Taxcoal*'Table 8A LCOE Coal cash flow'!G26</f>
        <v>-43.379797323889086</v>
      </c>
      <c r="G26" s="30">
        <f>(1-Taxcoal)*'Table 8A LCOE Coal cash flow'!H26</f>
        <v>28.46337122003792</v>
      </c>
      <c r="H26" s="30">
        <f>(1-Taxcoal)*'Table 8A LCOE Coal cash flow'!I26</f>
        <v>65.31558203730683</v>
      </c>
      <c r="I26" s="30">
        <f>(1-Taxcoal)*('Table 8A LCOE Coal cash flow'!J26)</f>
        <v>201.6123192654446</v>
      </c>
      <c r="J26" s="30">
        <f t="shared" si="0"/>
        <v>252.01147519890026</v>
      </c>
      <c r="K26" s="20"/>
    </row>
    <row r="27" spans="2:11" ht="12.75">
      <c r="B27" t="s">
        <v>252</v>
      </c>
      <c r="C27" s="19">
        <v>13</v>
      </c>
      <c r="D27" s="19">
        <v>2026</v>
      </c>
      <c r="F27" s="30">
        <f>-Taxcoal*'Table 8A LCOE Coal cash flow'!G27</f>
        <v>-43.38952155552413</v>
      </c>
      <c r="G27" s="30">
        <f>(1-Taxcoal)*'Table 8A LCOE Coal cash flow'!H27</f>
        <v>29.317272356639055</v>
      </c>
      <c r="H27" s="30">
        <f>(1-Taxcoal)*'Table 8A LCOE Coal cash flow'!I27</f>
        <v>67.9477999934103</v>
      </c>
      <c r="I27" s="30">
        <f>(1-Taxcoal)*('Table 8A LCOE Coal cash flow'!J27)</f>
        <v>208.69899228762498</v>
      </c>
      <c r="J27" s="30">
        <f t="shared" si="0"/>
        <v>262.57454308215017</v>
      </c>
      <c r="K27" s="20"/>
    </row>
    <row r="28" spans="2:11" ht="12.75">
      <c r="B28" t="s">
        <v>256</v>
      </c>
      <c r="C28" s="19">
        <v>14</v>
      </c>
      <c r="D28" s="19">
        <v>2027</v>
      </c>
      <c r="F28" s="30">
        <f>-Taxcoal*'Table 8A LCOE Coal cash flow'!G28</f>
        <v>-43.379797323889086</v>
      </c>
      <c r="G28" s="30">
        <f>(1-Taxcoal)*'Table 8A LCOE Coal cash flow'!H28</f>
        <v>30.196790527338226</v>
      </c>
      <c r="H28" s="30">
        <f>(1-Taxcoal)*'Table 8A LCOE Coal cash flow'!I28</f>
        <v>70.68609633314472</v>
      </c>
      <c r="I28" s="30">
        <f>(1-Taxcoal)*('Table 8A LCOE Coal cash flow'!J28)</f>
        <v>216.03476186653498</v>
      </c>
      <c r="J28" s="30">
        <f t="shared" si="0"/>
        <v>273.53785140312885</v>
      </c>
      <c r="K28" s="20"/>
    </row>
    <row r="29" spans="2:11" ht="12.75">
      <c r="B29" t="s">
        <v>257</v>
      </c>
      <c r="C29" s="19">
        <v>15</v>
      </c>
      <c r="D29" s="19">
        <v>2028</v>
      </c>
      <c r="F29" s="30">
        <f>-Taxcoal*'Table 8A LCOE Coal cash flow'!G29</f>
        <v>-43.38952155552413</v>
      </c>
      <c r="G29" s="30">
        <f>(1-Taxcoal)*'Table 8A LCOE Coal cash flow'!H29</f>
        <v>31.102694243158368</v>
      </c>
      <c r="H29" s="30">
        <f>(1-Taxcoal)*'Table 8A LCOE Coal cash flow'!I29</f>
        <v>73.53474601537046</v>
      </c>
      <c r="I29" s="30">
        <f>(1-Taxcoal)*('Table 8A LCOE Coal cash flow'!J29)</f>
        <v>223.62838374614367</v>
      </c>
      <c r="J29" s="30">
        <f t="shared" si="0"/>
        <v>284.8763024491484</v>
      </c>
      <c r="K29" s="20"/>
    </row>
    <row r="30" spans="2:11" ht="12.75">
      <c r="B30" t="s">
        <v>258</v>
      </c>
      <c r="C30" s="19">
        <v>16</v>
      </c>
      <c r="D30" s="19">
        <v>2029</v>
      </c>
      <c r="F30" s="30">
        <f>-Taxcoal*'Table 8A LCOE Coal cash flow'!G30</f>
        <v>-43.379797323889086</v>
      </c>
      <c r="G30" s="30">
        <f>(1-Taxcoal)*'Table 8A LCOE Coal cash flow'!H30</f>
        <v>32.03577507045313</v>
      </c>
      <c r="H30" s="30">
        <f>(1-Taxcoal)*'Table 8A LCOE Coal cash flow'!I30</f>
        <v>76.49819627978988</v>
      </c>
      <c r="I30" s="30">
        <f>(1-Taxcoal)*('Table 8A LCOE Coal cash flow'!J30)</f>
        <v>231.4889214348206</v>
      </c>
      <c r="J30" s="30">
        <f t="shared" si="0"/>
        <v>296.64309546117454</v>
      </c>
      <c r="K30" s="20"/>
    </row>
    <row r="31" spans="2:11" ht="12.75">
      <c r="B31" t="s">
        <v>226</v>
      </c>
      <c r="C31" s="19">
        <v>17</v>
      </c>
      <c r="D31" s="19">
        <v>2030</v>
      </c>
      <c r="F31" s="30">
        <f>-Taxcoal*'Table 8A LCOE Coal cash flow'!G31</f>
        <v>-43.38952155552413</v>
      </c>
      <c r="G31" s="30">
        <f>(1-Taxcoal)*'Table 8A LCOE Coal cash flow'!H31</f>
        <v>32.99684832256672</v>
      </c>
      <c r="H31" s="30">
        <f>(1-Taxcoal)*'Table 8A LCOE Coal cash flow'!I31</f>
        <v>79.58107358986543</v>
      </c>
      <c r="I31" s="30">
        <f>(1-Taxcoal)*('Table 8A LCOE Coal cash flow'!J31)</f>
        <v>239.6257570232546</v>
      </c>
      <c r="J31" s="30">
        <f t="shared" si="0"/>
        <v>308.8141573801626</v>
      </c>
      <c r="K31" s="20"/>
    </row>
    <row r="32" spans="2:11" ht="12.75">
      <c r="B32" t="s">
        <v>227</v>
      </c>
      <c r="C32" s="19">
        <v>18</v>
      </c>
      <c r="D32" s="19">
        <v>2031</v>
      </c>
      <c r="F32" s="30">
        <f>-Taxcoal*'Table 8A LCOE Coal cash flow'!G32</f>
        <v>-43.3797973238891</v>
      </c>
      <c r="G32" s="30">
        <f>(1-Taxcoal)*'Table 8A LCOE Coal cash flow'!H32</f>
        <v>33.98675377224372</v>
      </c>
      <c r="H32" s="30">
        <f>(1-Taxcoal)*'Table 8A LCOE Coal cash flow'!I32</f>
        <v>82.78819085553698</v>
      </c>
      <c r="I32" s="30">
        <f>(1-Taxcoal)*('Table 8A LCOE Coal cash flow'!J32)</f>
        <v>248.048602382622</v>
      </c>
      <c r="J32" s="30">
        <f t="shared" si="0"/>
        <v>321.44374968651357</v>
      </c>
      <c r="K32" s="20"/>
    </row>
    <row r="33" spans="2:11" ht="12.75">
      <c r="B33" t="s">
        <v>228</v>
      </c>
      <c r="C33" s="19">
        <v>19</v>
      </c>
      <c r="D33" s="19">
        <v>2032</v>
      </c>
      <c r="F33" s="30">
        <f>-Taxcoal*'Table 8A LCOE Coal cash flow'!G33</f>
        <v>-43.38952155552413</v>
      </c>
      <c r="G33" s="30">
        <f>(1-Taxcoal)*'Table 8A LCOE Coal cash flow'!H33</f>
        <v>35.00635638541103</v>
      </c>
      <c r="H33" s="30">
        <f>(1-Taxcoal)*'Table 8A LCOE Coal cash flow'!I33</f>
        <v>86.12455494701511</v>
      </c>
      <c r="I33" s="30">
        <f>(1-Taxcoal)*('Table 8A LCOE Coal cash flow'!J33)</f>
        <v>256.76751075637117</v>
      </c>
      <c r="J33" s="30">
        <f t="shared" si="0"/>
        <v>334.50890053327316</v>
      </c>
      <c r="K33" s="20"/>
    </row>
    <row r="34" spans="2:11" ht="12.75">
      <c r="B34" t="s">
        <v>229</v>
      </c>
      <c r="C34" s="19">
        <v>20</v>
      </c>
      <c r="D34" s="19">
        <v>2033</v>
      </c>
      <c r="F34" s="30">
        <f>-Taxcoal*'Table 8A LCOE Coal cash flow'!G34</f>
        <v>-43.3797973238891</v>
      </c>
      <c r="G34" s="30">
        <f>(1-Taxcoal)*'Table 8A LCOE Coal cash flow'!H34</f>
        <v>36.05654707697337</v>
      </c>
      <c r="H34" s="30">
        <f>(1-Taxcoal)*'Table 8A LCOE Coal cash flow'!I34</f>
        <v>89.59537451137984</v>
      </c>
      <c r="I34" s="30">
        <f>(1-Taxcoal)*('Table 8A LCOE Coal cash flow'!J34)</f>
        <v>265.7928887594576</v>
      </c>
      <c r="J34" s="30">
        <f t="shared" si="0"/>
        <v>348.06501302392167</v>
      </c>
      <c r="K34" s="20"/>
    </row>
    <row r="35" spans="2:11" ht="12.75">
      <c r="B35" t="s">
        <v>230</v>
      </c>
      <c r="C35" s="19">
        <v>21</v>
      </c>
      <c r="D35" s="19">
        <v>2034</v>
      </c>
      <c r="F35" s="30">
        <f>-Taxcoal*'Table 8A LCOE Coal cash flow'!G35</f>
        <v>-21.694760777762063</v>
      </c>
      <c r="G35" s="30">
        <f>(1-Taxcoal)*'Table 8A LCOE Coal cash flow'!H35</f>
        <v>37.138243489282566</v>
      </c>
      <c r="H35" s="30">
        <f>(1-Taxcoal)*'Table 8A LCOE Coal cash flow'!I35</f>
        <v>93.20606810418845</v>
      </c>
      <c r="I35" s="30">
        <f>(1-Taxcoal)*('Table 8A LCOE Coal cash flow'!J35)</f>
        <v>275.1355087993526</v>
      </c>
      <c r="J35" s="30">
        <f t="shared" si="0"/>
        <v>383.7850596150615</v>
      </c>
      <c r="K35" s="20"/>
    </row>
    <row r="36" spans="2:11" ht="12.75">
      <c r="B36" t="s">
        <v>231</v>
      </c>
      <c r="C36" s="19">
        <v>22</v>
      </c>
      <c r="D36" s="19">
        <v>2035</v>
      </c>
      <c r="F36" s="30"/>
      <c r="G36" s="30">
        <f>(1-Taxcoal)*'Table 8A LCOE Coal cash flow'!H36</f>
        <v>38.252390793961034</v>
      </c>
      <c r="H36" s="30">
        <f>(1-Taxcoal)*'Table 8A LCOE Coal cash flow'!I36</f>
        <v>96.96227264878723</v>
      </c>
      <c r="I36" s="30">
        <f>(1-Taxcoal)*('Table 8A LCOE Coal cash flow'!J36)</f>
        <v>284.80652193364983</v>
      </c>
      <c r="J36" s="30">
        <f t="shared" si="0"/>
        <v>420.0211853763981</v>
      </c>
      <c r="K36" s="20"/>
    </row>
    <row r="37" spans="2:11" ht="12.75">
      <c r="B37" t="s">
        <v>232</v>
      </c>
      <c r="C37" s="19">
        <v>23</v>
      </c>
      <c r="D37" s="19">
        <v>2036</v>
      </c>
      <c r="F37" s="30"/>
      <c r="G37" s="30">
        <f>(1-Taxcoal)*'Table 8A LCOE Coal cash flow'!H37</f>
        <v>39.39996251777986</v>
      </c>
      <c r="H37" s="30">
        <f>(1-Taxcoal)*'Table 8A LCOE Coal cash flow'!I37</f>
        <v>100.86985223653333</v>
      </c>
      <c r="I37" s="30">
        <f>(1-Taxcoal)*('Table 8A LCOE Coal cash flow'!J37)</f>
        <v>294.8174711796176</v>
      </c>
      <c r="J37" s="30">
        <f t="shared" si="0"/>
        <v>435.0872859339308</v>
      </c>
      <c r="K37" s="20"/>
    </row>
    <row r="38" spans="2:11" ht="12.75">
      <c r="B38" t="s">
        <v>233</v>
      </c>
      <c r="C38" s="19">
        <v>24</v>
      </c>
      <c r="D38" s="19">
        <v>2037</v>
      </c>
      <c r="F38" s="30"/>
      <c r="G38" s="30">
        <f>(1-Taxcoal)*'Table 8A LCOE Coal cash flow'!H38</f>
        <v>40.581961393313264</v>
      </c>
      <c r="H38" s="30">
        <f>(1-Taxcoal)*'Table 8A LCOE Coal cash flow'!I38</f>
        <v>104.93490728166564</v>
      </c>
      <c r="I38" s="30">
        <f>(1-Taxcoal)*('Table 8A LCOE Coal cash flow'!J38)</f>
        <v>305.1803052915812</v>
      </c>
      <c r="J38" s="30">
        <f t="shared" si="0"/>
        <v>450.6971739665601</v>
      </c>
      <c r="K38" s="20"/>
    </row>
    <row r="39" spans="2:11" ht="12.75">
      <c r="B39" t="s">
        <v>234</v>
      </c>
      <c r="C39" s="19">
        <v>25</v>
      </c>
      <c r="D39" s="19">
        <v>2038</v>
      </c>
      <c r="F39" s="30"/>
      <c r="G39" s="30">
        <f>(1-Taxcoal)*'Table 8A LCOE Coal cash flow'!H39</f>
        <v>41.79942023511267</v>
      </c>
      <c r="H39" s="30">
        <f>(1-Taxcoal)*'Table 8A LCOE Coal cash flow'!I39</f>
        <v>109.16378404511677</v>
      </c>
      <c r="I39" s="30">
        <f>(1-Taxcoal)*('Table 8A LCOE Coal cash flow'!J39)</f>
        <v>315.90739302258027</v>
      </c>
      <c r="J39" s="30">
        <f t="shared" si="0"/>
        <v>466.8705973028097</v>
      </c>
      <c r="K39" s="20"/>
    </row>
    <row r="40" spans="2:11" ht="12.75">
      <c r="B40" t="s">
        <v>235</v>
      </c>
      <c r="C40" s="19">
        <v>26</v>
      </c>
      <c r="D40" s="19">
        <v>2039</v>
      </c>
      <c r="F40" s="30"/>
      <c r="G40" s="30">
        <f>(1-Taxcoal)*'Table 8A LCOE Coal cash flow'!H40</f>
        <v>43.053402842166044</v>
      </c>
      <c r="H40" s="30">
        <f>(1-Taxcoal)*'Table 8A LCOE Coal cash flow'!I40</f>
        <v>113.56308454213497</v>
      </c>
      <c r="I40" s="30">
        <f>(1-Taxcoal)*('Table 8A LCOE Coal cash flow'!J40)</f>
        <v>327.0115378873239</v>
      </c>
      <c r="J40" s="30">
        <f t="shared" si="0"/>
        <v>483.62802527162495</v>
      </c>
      <c r="K40" s="20"/>
    </row>
    <row r="41" spans="2:11" ht="12.75">
      <c r="B41" t="s">
        <v>236</v>
      </c>
      <c r="C41" s="19">
        <v>27</v>
      </c>
      <c r="D41" s="19">
        <v>2040</v>
      </c>
      <c r="F41" s="30"/>
      <c r="G41" s="30">
        <f>(1-Taxcoal)*'Table 8A LCOE Coal cash flow'!H41</f>
        <v>44.34500492743102</v>
      </c>
      <c r="H41" s="30">
        <f>(1-Taxcoal)*'Table 8A LCOE Coal cash flow'!I41</f>
        <v>118.13967684918302</v>
      </c>
      <c r="I41" s="30">
        <f>(1-Taxcoal)*('Table 8A LCOE Coal cash flow'!J41)</f>
        <v>338.50599344406345</v>
      </c>
      <c r="J41" s="30">
        <f t="shared" si="0"/>
        <v>500.9906752206775</v>
      </c>
      <c r="K41" s="20"/>
    </row>
    <row r="42" spans="2:11" ht="12.75">
      <c r="B42" t="s">
        <v>237</v>
      </c>
      <c r="C42" s="19">
        <v>28</v>
      </c>
      <c r="D42" s="19">
        <v>2041</v>
      </c>
      <c r="F42" s="30"/>
      <c r="G42" s="30">
        <f>(1-Taxcoal)*'Table 8A LCOE Coal cash flow'!H42</f>
        <v>45.67535507525395</v>
      </c>
      <c r="H42" s="30">
        <f>(1-Taxcoal)*'Table 8A LCOE Coal cash flow'!I42</f>
        <v>122.90070582620508</v>
      </c>
      <c r="I42" s="30">
        <f>(1-Taxcoal)*('Table 8A LCOE Coal cash flow'!J42)</f>
        <v>350.40447911362224</v>
      </c>
      <c r="J42" s="30">
        <f t="shared" si="0"/>
        <v>518.9805400150813</v>
      </c>
      <c r="K42" s="20"/>
    </row>
    <row r="43" spans="2:11" ht="12.75">
      <c r="B43" t="s">
        <v>238</v>
      </c>
      <c r="C43" s="19">
        <v>29</v>
      </c>
      <c r="D43" s="19">
        <v>2042</v>
      </c>
      <c r="F43" s="30"/>
      <c r="G43" s="30">
        <f>(1-Taxcoal)*'Table 8A LCOE Coal cash flow'!H43</f>
        <v>47.045615727511574</v>
      </c>
      <c r="H43" s="30">
        <f>(1-Taxcoal)*'Table 8A LCOE Coal cash flow'!I43</f>
        <v>127.85360427100116</v>
      </c>
      <c r="I43" s="30">
        <f>(1-Taxcoal)*('Table 8A LCOE Coal cash flow'!J43)</f>
        <v>362.7211965544661</v>
      </c>
      <c r="J43" s="30">
        <f t="shared" si="0"/>
        <v>537.6204165529788</v>
      </c>
      <c r="K43" s="20"/>
    </row>
    <row r="44" spans="2:11" ht="12.75">
      <c r="B44" t="s">
        <v>239</v>
      </c>
      <c r="C44" s="19">
        <v>30</v>
      </c>
      <c r="D44" s="19">
        <v>2043</v>
      </c>
      <c r="F44" s="30"/>
      <c r="G44" s="30">
        <f>(1-Taxcoal)*'Table 8A LCOE Coal cash flow'!H44</f>
        <v>48.45698419933692</v>
      </c>
      <c r="H44" s="30">
        <f>(1-Taxcoal)*'Table 8A LCOE Coal cash flow'!I44</f>
        <v>133.00610452312247</v>
      </c>
      <c r="I44" s="30">
        <f>(1-Taxcoal)*('Table 8A LCOE Coal cash flow'!J44)</f>
        <v>375.4708466133556</v>
      </c>
      <c r="J44" s="30">
        <f t="shared" si="0"/>
        <v>556.933935335815</v>
      </c>
      <c r="K44" s="20"/>
    </row>
    <row r="45" spans="2:11" ht="12.75">
      <c r="B45" t="s">
        <v>240</v>
      </c>
      <c r="C45" s="19">
        <v>31</v>
      </c>
      <c r="D45" s="19">
        <v>2044</v>
      </c>
      <c r="F45" s="30"/>
      <c r="G45" s="30">
        <f>(1-Taxcoal)*'Table 8A LCOE Coal cash flow'!H45</f>
        <v>49.91069372531702</v>
      </c>
      <c r="H45" s="30">
        <f>(1-Taxcoal)*'Table 8A LCOE Coal cash flow'!I45</f>
        <v>138.36625053540433</v>
      </c>
      <c r="I45" s="30">
        <f>(1-Taxcoal)*('Table 8A LCOE Coal cash flow'!J45)</f>
        <v>388.668646871815</v>
      </c>
      <c r="J45" s="30">
        <f t="shared" si="0"/>
        <v>576.9455911325363</v>
      </c>
      <c r="K45" s="20"/>
    </row>
    <row r="46" spans="2:11" ht="12.75">
      <c r="B46" t="s">
        <v>241</v>
      </c>
      <c r="C46" s="19">
        <v>32</v>
      </c>
      <c r="D46" s="19">
        <v>2045</v>
      </c>
      <c r="F46" s="30"/>
      <c r="G46" s="30">
        <f>(1-Taxcoal)*'Table 8A LCOE Coal cash flow'!H46</f>
        <v>51.408014537076525</v>
      </c>
      <c r="H46" s="30">
        <f>(1-Taxcoal)*'Table 8A LCOE Coal cash flow'!I46</f>
        <v>143.94241043198113</v>
      </c>
      <c r="I46" s="30">
        <f>(1-Taxcoal)*('Table 8A LCOE Coal cash flow'!J46)</f>
        <v>402.33034980935935</v>
      </c>
      <c r="J46" s="30">
        <f t="shared" si="0"/>
        <v>597.680774778417</v>
      </c>
      <c r="K46" s="20"/>
    </row>
    <row r="47" spans="2:11" ht="12.75">
      <c r="B47" t="s">
        <v>242</v>
      </c>
      <c r="C47" s="19">
        <v>33</v>
      </c>
      <c r="D47" s="19">
        <v>2046</v>
      </c>
      <c r="F47" s="30"/>
      <c r="G47" s="30">
        <f>(1-Taxcoal)*'Table 8A LCOE Coal cash flow'!H47</f>
        <v>52.95025497318883</v>
      </c>
      <c r="H47" s="30">
        <f>(1-Taxcoal)*'Table 8A LCOE Coal cash flow'!I47</f>
        <v>149.74328957238998</v>
      </c>
      <c r="I47" s="30">
        <f>(1-Taxcoal)*('Table 8A LCOE Coal cash flow'!J47)</f>
        <v>416.4722616051584</v>
      </c>
      <c r="J47" s="30">
        <f t="shared" si="0"/>
        <v>619.1658061507372</v>
      </c>
      <c r="K47" s="20"/>
    </row>
    <row r="48" spans="2:11" ht="12.75">
      <c r="B48" t="s">
        <v>243</v>
      </c>
      <c r="C48" s="19">
        <v>34</v>
      </c>
      <c r="D48" s="19">
        <v>2047</v>
      </c>
      <c r="F48" s="30"/>
      <c r="G48" s="30">
        <f>(1-Taxcoal)*'Table 8A LCOE Coal cash flow'!H48</f>
        <v>54.53876262238449</v>
      </c>
      <c r="H48" s="30">
        <f>(1-Taxcoal)*'Table 8A LCOE Coal cash flow'!I48</f>
        <v>155.77794414215725</v>
      </c>
      <c r="I48" s="30">
        <f>(1-Taxcoal)*('Table 8A LCOE Coal cash flow'!J48)</f>
        <v>431.1112616005796</v>
      </c>
      <c r="J48" s="30">
        <f t="shared" si="0"/>
        <v>641.4279683651214</v>
      </c>
      <c r="K48" s="20"/>
    </row>
    <row r="49" spans="2:11" ht="12.75">
      <c r="B49" t="s">
        <v>244</v>
      </c>
      <c r="C49" s="19">
        <v>35</v>
      </c>
      <c r="D49" s="19">
        <v>2048</v>
      </c>
      <c r="F49" s="30"/>
      <c r="G49" s="30">
        <f>(1-Taxcoal)*'Table 8A LCOE Coal cash flow'!H49</f>
        <v>56.17492550105603</v>
      </c>
      <c r="H49" s="30">
        <f>(1-Taxcoal)*'Table 8A LCOE Coal cash flow'!I49</f>
        <v>162.05579529108616</v>
      </c>
      <c r="I49" s="30">
        <f>(1-Taxcoal)*('Table 8A LCOE Coal cash flow'!J49)</f>
        <v>446.26482244584</v>
      </c>
      <c r="J49" s="30">
        <f t="shared" si="0"/>
        <v>664.4955432379822</v>
      </c>
      <c r="K49" s="20"/>
    </row>
    <row r="50" spans="2:11" ht="12.75">
      <c r="B50" t="s">
        <v>245</v>
      </c>
      <c r="C50" s="19">
        <v>36</v>
      </c>
      <c r="D50" s="19">
        <v>2049</v>
      </c>
      <c r="F50" s="30"/>
      <c r="G50" s="30">
        <f>(1-Taxcoal)*'Table 8A LCOE Coal cash flow'!H50</f>
        <v>57.8601732660877</v>
      </c>
      <c r="H50" s="30">
        <f>(1-Taxcoal)*'Table 8A LCOE Coal cash flow'!I50</f>
        <v>168.58664384131697</v>
      </c>
      <c r="I50" s="30">
        <f>(1-Taxcoal)*('Table 8A LCOE Coal cash flow'!J50)</f>
        <v>461.95103095481136</v>
      </c>
      <c r="J50" s="30">
        <f t="shared" si="0"/>
        <v>688.3978480622161</v>
      </c>
      <c r="K50" s="20"/>
    </row>
    <row r="51" spans="2:11" ht="12.75">
      <c r="B51" t="s">
        <v>246</v>
      </c>
      <c r="C51" s="19">
        <v>37</v>
      </c>
      <c r="D51" s="19">
        <v>2050</v>
      </c>
      <c r="F51" s="30"/>
      <c r="G51" s="30">
        <f>(1-Taxcoal)*'Table 8A LCOE Coal cash flow'!H51</f>
        <v>59.59597846407034</v>
      </c>
      <c r="H51" s="30">
        <f>(1-Taxcoal)*'Table 8A LCOE Coal cash flow'!I51</f>
        <v>175.38068558812202</v>
      </c>
      <c r="I51" s="30">
        <f>(1-Taxcoal)*('Table 8A LCOE Coal cash flow'!J51)</f>
        <v>478.1886096928729</v>
      </c>
      <c r="J51" s="30">
        <f t="shared" si="0"/>
        <v>713.1652737450652</v>
      </c>
      <c r="K51" s="20"/>
    </row>
    <row r="52" spans="2:11" ht="12.75">
      <c r="B52" t="s">
        <v>247</v>
      </c>
      <c r="C52" s="19">
        <v>38</v>
      </c>
      <c r="D52" s="19">
        <v>2051</v>
      </c>
      <c r="F52" s="30"/>
      <c r="G52" s="30">
        <f>(1-Taxcoal)*'Table 8A LCOE Coal cash flow'!H52</f>
        <v>61.38385781799244</v>
      </c>
      <c r="H52" s="30">
        <f>(1-Taxcoal)*'Table 8A LCOE Coal cash flow'!I52</f>
        <v>182.44852721732335</v>
      </c>
      <c r="I52" s="30">
        <f>(1-Taxcoal)*('Table 8A LCOE Coal cash flow'!J52)</f>
        <v>494.9969393235774</v>
      </c>
      <c r="J52" s="30">
        <f t="shared" si="0"/>
        <v>738.8293243588932</v>
      </c>
      <c r="K52" s="20"/>
    </row>
    <row r="53" spans="2:11" ht="12.75">
      <c r="B53" t="s">
        <v>248</v>
      </c>
      <c r="C53" s="19">
        <v>39</v>
      </c>
      <c r="D53" s="19">
        <v>2052</v>
      </c>
      <c r="F53" s="30"/>
      <c r="G53" s="30">
        <f>(1-Taxcoal)*'Table 8A LCOE Coal cash flow'!H53</f>
        <v>63.22537355253221</v>
      </c>
      <c r="H53" s="30">
        <f>(1-Taxcoal)*'Table 8A LCOE Coal cash flow'!I53</f>
        <v>189.80120286418145</v>
      </c>
      <c r="I53" s="30">
        <f>(1-Taxcoal)*('Table 8A LCOE Coal cash flow'!J53)</f>
        <v>512.396081740801</v>
      </c>
      <c r="J53" s="30">
        <f t="shared" si="0"/>
        <v>765.4226581575147</v>
      </c>
      <c r="K53" s="20"/>
    </row>
    <row r="54" spans="2:11" ht="12.75">
      <c r="B54" t="s">
        <v>249</v>
      </c>
      <c r="C54" s="19">
        <v>40</v>
      </c>
      <c r="D54" s="19">
        <v>2053</v>
      </c>
      <c r="F54" s="30"/>
      <c r="G54" s="30">
        <f>(1-Taxcoal)*'Table 8A LCOE Coal cash flow'!H54</f>
        <v>65.12213475910818</v>
      </c>
      <c r="H54" s="30">
        <f>(1-Taxcoal)*'Table 8A LCOE Coal cash flow'!I54</f>
        <v>197.450191339608</v>
      </c>
      <c r="I54" s="30">
        <f>(1-Taxcoal)*('Table 8A LCOE Coal cash flow'!J54)</f>
        <v>530.4068040139903</v>
      </c>
      <c r="J54" s="30">
        <f t="shared" si="0"/>
        <v>792.9791301127065</v>
      </c>
      <c r="K54" s="20"/>
    </row>
    <row r="55" spans="1:11" ht="13.5" thickBot="1">
      <c r="A55" s="9"/>
      <c r="B55" s="43"/>
      <c r="C55" s="75"/>
      <c r="D55" s="75"/>
      <c r="E55" s="9"/>
      <c r="F55" s="9"/>
      <c r="G55" s="9"/>
      <c r="H55" s="9"/>
      <c r="I55" s="9"/>
      <c r="J55" s="9"/>
      <c r="K55" s="9"/>
    </row>
    <row r="57" spans="1:4" ht="12.75">
      <c r="A57"/>
      <c r="B57" s="15" t="s">
        <v>177</v>
      </c>
      <c r="C57" s="100"/>
      <c r="D57"/>
    </row>
    <row r="58" spans="1:4" ht="12.75">
      <c r="A58"/>
      <c r="B58" s="15" t="s">
        <v>155</v>
      </c>
      <c r="C58" s="99" t="s">
        <v>579</v>
      </c>
      <c r="D58"/>
    </row>
    <row r="59" spans="1:4" ht="12.75">
      <c r="A59"/>
      <c r="B59" s="15" t="s">
        <v>156</v>
      </c>
      <c r="C59" s="99" t="s">
        <v>580</v>
      </c>
      <c r="D59"/>
    </row>
    <row r="60" spans="1:4" ht="12.75">
      <c r="A60"/>
      <c r="B60" s="15" t="s">
        <v>157</v>
      </c>
      <c r="C60" s="99" t="s">
        <v>581</v>
      </c>
      <c r="D60"/>
    </row>
    <row r="61" spans="1:4" ht="12.75">
      <c r="A61"/>
      <c r="B61" s="15" t="s">
        <v>158</v>
      </c>
      <c r="C61" s="99" t="s">
        <v>582</v>
      </c>
      <c r="D61"/>
    </row>
    <row r="62" spans="1:4" ht="12.75">
      <c r="A62"/>
      <c r="B62" s="15" t="s">
        <v>159</v>
      </c>
      <c r="C62" s="99" t="s">
        <v>28</v>
      </c>
      <c r="D62"/>
    </row>
    <row r="63" spans="1:4" ht="12.75">
      <c r="A63"/>
      <c r="B63"/>
      <c r="C63"/>
      <c r="D63"/>
    </row>
    <row r="64" spans="1:4" ht="12.75">
      <c r="A64"/>
      <c r="B64"/>
      <c r="C64"/>
      <c r="D64"/>
    </row>
    <row r="65" spans="1:4" ht="12.75">
      <c r="A65"/>
      <c r="B65"/>
      <c r="C65"/>
      <c r="D65"/>
    </row>
    <row r="66" spans="1:4" ht="12.75">
      <c r="A66"/>
      <c r="B66"/>
      <c r="C66"/>
      <c r="D66"/>
    </row>
    <row r="67" spans="1:4" ht="12.75">
      <c r="A67"/>
      <c r="B67"/>
      <c r="C67"/>
      <c r="D67"/>
    </row>
    <row r="68" spans="1:4" ht="12.75">
      <c r="A68"/>
      <c r="B68"/>
      <c r="C68"/>
      <c r="D68"/>
    </row>
    <row r="69" spans="1:4" ht="12.75">
      <c r="A69"/>
      <c r="B69"/>
      <c r="C69"/>
      <c r="D69"/>
    </row>
    <row r="70" spans="1:4" ht="12.75">
      <c r="A70"/>
      <c r="B70"/>
      <c r="C70"/>
      <c r="D70"/>
    </row>
    <row r="71" spans="1:4" ht="12.75">
      <c r="A71"/>
      <c r="B71"/>
      <c r="C71"/>
      <c r="D71"/>
    </row>
    <row r="72" spans="1:4" ht="12.75">
      <c r="A72"/>
      <c r="B72"/>
      <c r="C72"/>
      <c r="D72"/>
    </row>
    <row r="73" spans="1:4" ht="12.75">
      <c r="A73"/>
      <c r="B73"/>
      <c r="C73"/>
      <c r="D73"/>
    </row>
    <row r="74" spans="1:4" ht="12.75">
      <c r="A74"/>
      <c r="B74"/>
      <c r="C74"/>
      <c r="D74"/>
    </row>
    <row r="75" spans="1:4" ht="12.75">
      <c r="A75"/>
      <c r="B75"/>
      <c r="C75"/>
      <c r="D75"/>
    </row>
    <row r="76" spans="1:4" ht="12.75">
      <c r="A76"/>
      <c r="B76"/>
      <c r="C76"/>
      <c r="D76"/>
    </row>
    <row r="77" spans="1:4" ht="12.75">
      <c r="A77"/>
      <c r="B77"/>
      <c r="C77"/>
      <c r="D77"/>
    </row>
    <row r="78" spans="1:4" ht="12.75">
      <c r="A78"/>
      <c r="B78"/>
      <c r="C78"/>
      <c r="D78"/>
    </row>
    <row r="79" spans="1:4" ht="12.75">
      <c r="A79"/>
      <c r="B79"/>
      <c r="C79"/>
      <c r="D79"/>
    </row>
    <row r="80" spans="1:4" ht="12.75">
      <c r="A80"/>
      <c r="B80"/>
      <c r="C80"/>
      <c r="D80"/>
    </row>
    <row r="81" spans="1:4" ht="12.75">
      <c r="A81"/>
      <c r="B81"/>
      <c r="C81"/>
      <c r="D81"/>
    </row>
    <row r="82" spans="1:4" ht="12.75">
      <c r="A82"/>
      <c r="B82"/>
      <c r="C82"/>
      <c r="D82"/>
    </row>
    <row r="83" spans="1:4" ht="12.75">
      <c r="A83"/>
      <c r="B83"/>
      <c r="C83"/>
      <c r="D83"/>
    </row>
    <row r="84" spans="1:4" ht="12.75">
      <c r="A84"/>
      <c r="B84"/>
      <c r="C84"/>
      <c r="D84"/>
    </row>
    <row r="85" spans="1:4" ht="12.75">
      <c r="A85"/>
      <c r="B85"/>
      <c r="C85"/>
      <c r="D85"/>
    </row>
    <row r="86" spans="1:4" ht="12.75">
      <c r="A86"/>
      <c r="B86"/>
      <c r="C86"/>
      <c r="D86"/>
    </row>
    <row r="87" spans="1:4" ht="12.75">
      <c r="A87"/>
      <c r="B87"/>
      <c r="C87"/>
      <c r="D87"/>
    </row>
    <row r="88" spans="1:4" ht="12.75">
      <c r="A88"/>
      <c r="B88"/>
      <c r="C88"/>
      <c r="D88"/>
    </row>
    <row r="89" spans="1:4" ht="12.75">
      <c r="A89"/>
      <c r="B89"/>
      <c r="C89"/>
      <c r="D89"/>
    </row>
    <row r="90" spans="1:4" ht="12.75">
      <c r="A90"/>
      <c r="B90"/>
      <c r="C90"/>
      <c r="D90"/>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row r="96" spans="1:4" ht="12.75">
      <c r="A96"/>
      <c r="B96"/>
      <c r="C96"/>
      <c r="D96"/>
    </row>
    <row r="97" spans="1:4" ht="12.75">
      <c r="A97"/>
      <c r="B97"/>
      <c r="C97"/>
      <c r="D97"/>
    </row>
    <row r="98" spans="1:4" ht="12.75">
      <c r="A98"/>
      <c r="B98"/>
      <c r="C98"/>
      <c r="D98"/>
    </row>
    <row r="99" spans="1:4" ht="12.75">
      <c r="A99"/>
      <c r="B99"/>
      <c r="C99"/>
      <c r="D99"/>
    </row>
    <row r="100" spans="1:4" ht="12.75">
      <c r="A100"/>
      <c r="B100"/>
      <c r="C100"/>
      <c r="D100"/>
    </row>
    <row r="101" spans="1:4" ht="12.75">
      <c r="A101"/>
      <c r="B101"/>
      <c r="C101"/>
      <c r="D101"/>
    </row>
    <row r="102" spans="1:4" ht="12.75">
      <c r="A102"/>
      <c r="B102"/>
      <c r="C102"/>
      <c r="D102"/>
    </row>
    <row r="103" spans="1:4" ht="12.75">
      <c r="A103"/>
      <c r="B103"/>
      <c r="C103"/>
      <c r="D103"/>
    </row>
    <row r="104" spans="1:4" ht="12.75">
      <c r="A104"/>
      <c r="B104"/>
      <c r="C104"/>
      <c r="D104"/>
    </row>
    <row r="105" spans="1:4" ht="12.75">
      <c r="A105"/>
      <c r="B105"/>
      <c r="C105"/>
      <c r="D105"/>
    </row>
    <row r="106" spans="1:4" ht="12.75">
      <c r="A106"/>
      <c r="B106"/>
      <c r="C106"/>
      <c r="D106"/>
    </row>
    <row r="107" spans="1:4" ht="12.75">
      <c r="A107"/>
      <c r="B107"/>
      <c r="C107"/>
      <c r="D107"/>
    </row>
    <row r="108" spans="1:4" ht="12.75">
      <c r="A108"/>
      <c r="B108"/>
      <c r="C108"/>
      <c r="D108"/>
    </row>
    <row r="109" spans="1:4" ht="12.75">
      <c r="A109"/>
      <c r="B109"/>
      <c r="C109"/>
      <c r="D109"/>
    </row>
    <row r="110" spans="1:4" ht="12.75">
      <c r="A110"/>
      <c r="B110"/>
      <c r="C110"/>
      <c r="D110"/>
    </row>
    <row r="111" spans="1:4" ht="12.75">
      <c r="A111"/>
      <c r="B111"/>
      <c r="C111"/>
      <c r="D111"/>
    </row>
    <row r="112" spans="1:4" ht="12.75">
      <c r="A112"/>
      <c r="B112"/>
      <c r="C112"/>
      <c r="D112"/>
    </row>
    <row r="113" ht="12.75">
      <c r="B113" s="15"/>
    </row>
  </sheetData>
  <sheetProtection/>
  <printOptions horizontalCentered="1"/>
  <pageMargins left="0.75" right="0.5" top="1" bottom="1" header="0.5" footer="0.5"/>
  <pageSetup fitToHeight="2" orientation="portrait" r:id="rId1"/>
  <rowBreaks count="1" manualBreakCount="1">
    <brk id="34" max="10" man="1"/>
  </rowBreaks>
</worksheet>
</file>

<file path=xl/worksheets/sheet14.xml><?xml version="1.0" encoding="utf-8"?>
<worksheet xmlns="http://schemas.openxmlformats.org/spreadsheetml/2006/main" xmlns:r="http://schemas.openxmlformats.org/officeDocument/2006/relationships">
  <dimension ref="A1:Q117"/>
  <sheetViews>
    <sheetView zoomScalePageLayoutView="0" workbookViewId="0" topLeftCell="A47">
      <selection activeCell="J61" sqref="J61"/>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6" width="8.8515625" style="0" customWidth="1"/>
    <col min="7" max="7" width="3.8515625" style="0" customWidth="1"/>
    <col min="8" max="12" width="11.8515625" style="0" customWidth="1"/>
    <col min="13" max="13" width="2.8515625" style="0" customWidth="1"/>
  </cols>
  <sheetData>
    <row r="1" spans="10:13" ht="12.75">
      <c r="J1" s="20"/>
      <c r="M1" s="20"/>
    </row>
    <row r="2" spans="10:13" ht="12.75">
      <c r="J2" s="20"/>
      <c r="M2" s="20"/>
    </row>
    <row r="3" spans="1:13" ht="16.5" thickBot="1">
      <c r="A3" s="9"/>
      <c r="B3" s="42" t="s">
        <v>311</v>
      </c>
      <c r="C3" s="75"/>
      <c r="D3" s="75"/>
      <c r="E3" s="9"/>
      <c r="F3" s="9"/>
      <c r="G3" s="9"/>
      <c r="H3" s="79"/>
      <c r="I3" s="9"/>
      <c r="J3" s="9"/>
      <c r="K3" s="9"/>
      <c r="L3" s="9"/>
      <c r="M3" s="79"/>
    </row>
    <row r="4" spans="2:13" ht="15.75">
      <c r="B4" s="74"/>
      <c r="J4" s="20"/>
      <c r="M4" s="20"/>
    </row>
    <row r="5" spans="2:13" ht="39">
      <c r="B5" s="74"/>
      <c r="H5" s="22" t="s">
        <v>117</v>
      </c>
      <c r="I5" s="101"/>
      <c r="J5" s="101"/>
      <c r="K5" s="19"/>
      <c r="M5" s="20"/>
    </row>
    <row r="6" spans="1:16" s="22" customFormat="1" ht="27" customHeight="1">
      <c r="A6" s="37"/>
      <c r="B6" s="74"/>
      <c r="C6" s="22" t="s">
        <v>72</v>
      </c>
      <c r="D6" s="22" t="s">
        <v>73</v>
      </c>
      <c r="F6" s="22" t="s">
        <v>78</v>
      </c>
      <c r="H6" s="23" t="s">
        <v>114</v>
      </c>
      <c r="I6" s="101" t="s">
        <v>143</v>
      </c>
      <c r="J6" s="23" t="s">
        <v>110</v>
      </c>
      <c r="K6" s="19" t="s">
        <v>115</v>
      </c>
      <c r="L6" s="101" t="s">
        <v>119</v>
      </c>
      <c r="M6" s="20"/>
      <c r="P6" s="101"/>
    </row>
    <row r="7" spans="1:12" s="22" customFormat="1" ht="12.75" customHeight="1">
      <c r="A7" s="37"/>
      <c r="B7" s="50"/>
      <c r="C7" s="80" t="s">
        <v>153</v>
      </c>
      <c r="D7" s="80" t="s">
        <v>154</v>
      </c>
      <c r="E7" s="80"/>
      <c r="F7" s="80" t="s">
        <v>155</v>
      </c>
      <c r="G7" s="80"/>
      <c r="H7" s="81" t="s">
        <v>156</v>
      </c>
      <c r="I7" s="81" t="s">
        <v>157</v>
      </c>
      <c r="J7" s="103" t="s">
        <v>158</v>
      </c>
      <c r="K7" s="81" t="s">
        <v>159</v>
      </c>
      <c r="L7" s="81" t="s">
        <v>210</v>
      </c>
    </row>
    <row r="8" spans="1:13" s="22" customFormat="1" ht="12.75" customHeight="1">
      <c r="A8" s="17"/>
      <c r="B8" s="50"/>
      <c r="H8" s="23"/>
      <c r="I8" s="23"/>
      <c r="J8" s="101"/>
      <c r="K8" s="23"/>
      <c r="L8" s="23"/>
      <c r="M8" s="101"/>
    </row>
    <row r="9" spans="6:17" ht="12.75">
      <c r="F9" s="31"/>
      <c r="H9" s="30"/>
      <c r="I9" s="30"/>
      <c r="J9" s="30"/>
      <c r="K9" s="30"/>
      <c r="L9" s="30"/>
      <c r="M9" s="20"/>
      <c r="P9" s="3"/>
      <c r="Q9" s="3"/>
    </row>
    <row r="10" spans="2:17" ht="12.75">
      <c r="B10" s="46" t="s">
        <v>160</v>
      </c>
      <c r="C10" s="19">
        <v>-4</v>
      </c>
      <c r="D10" s="19">
        <v>2009</v>
      </c>
      <c r="F10" s="31">
        <f aca="true" t="shared" si="0" ref="F10:F54">1/(1+WACCcoal)^(C10)</f>
        <v>1.351642242221763</v>
      </c>
      <c r="H10" s="30"/>
      <c r="I10" s="30"/>
      <c r="J10" s="30"/>
      <c r="K10" s="30"/>
      <c r="L10" s="30"/>
      <c r="M10" s="20"/>
      <c r="P10" s="3"/>
      <c r="Q10" s="3"/>
    </row>
    <row r="11" spans="2:17" ht="12.75">
      <c r="B11" s="46" t="s">
        <v>161</v>
      </c>
      <c r="C11" s="19">
        <v>-3</v>
      </c>
      <c r="D11" s="19">
        <v>2010</v>
      </c>
      <c r="F11" s="31">
        <f t="shared" si="0"/>
        <v>1.253563438772224</v>
      </c>
      <c r="H11" s="30">
        <f>$F11*'Table 8B LCOE Coal after-tax'!F11</f>
        <v>459.9797183719582</v>
      </c>
      <c r="I11" s="30"/>
      <c r="J11" s="30"/>
      <c r="K11" s="30"/>
      <c r="L11" s="30">
        <f>$F11*'Table 8B LCOE Coal after-tax'!J11</f>
        <v>459.9797183719582</v>
      </c>
      <c r="M11" s="20"/>
      <c r="P11" s="3"/>
      <c r="Q11" s="3"/>
    </row>
    <row r="12" spans="2:17" ht="12.75">
      <c r="B12" s="46" t="s">
        <v>162</v>
      </c>
      <c r="C12" s="19">
        <v>-2</v>
      </c>
      <c r="D12" s="19">
        <v>2011</v>
      </c>
      <c r="F12" s="31">
        <f t="shared" si="0"/>
        <v>1.1626014976</v>
      </c>
      <c r="H12" s="30">
        <f>$F12*'Table 8B LCOE Coal after-tax'!F12</f>
        <v>1065.3955412929606</v>
      </c>
      <c r="I12" s="30"/>
      <c r="J12" s="30"/>
      <c r="K12" s="30"/>
      <c r="L12" s="30">
        <f>$F12*'Table 8B LCOE Coal after-tax'!J12</f>
        <v>1065.3955412929606</v>
      </c>
      <c r="M12" s="20"/>
      <c r="P12" s="3"/>
      <c r="Q12" s="3"/>
    </row>
    <row r="13" spans="2:17" ht="12.75">
      <c r="B13" s="46" t="s">
        <v>163</v>
      </c>
      <c r="C13" s="19">
        <v>-1</v>
      </c>
      <c r="D13" s="19">
        <v>2012</v>
      </c>
      <c r="F13" s="31">
        <f t="shared" si="0"/>
        <v>1.07824</v>
      </c>
      <c r="H13" s="30">
        <f>$F13*'Table 8B LCOE Coal after-tax'!F13</f>
        <v>1017.7301969243855</v>
      </c>
      <c r="I13" s="30"/>
      <c r="J13" s="30"/>
      <c r="K13" s="30"/>
      <c r="L13" s="30">
        <f>$F13*'Table 8B LCOE Coal after-tax'!J13</f>
        <v>1017.7301969243855</v>
      </c>
      <c r="M13" s="20"/>
      <c r="P13" s="3"/>
      <c r="Q13" s="3"/>
    </row>
    <row r="14" spans="2:17" ht="12.75">
      <c r="B14" s="46" t="s">
        <v>164</v>
      </c>
      <c r="C14" s="19">
        <v>0</v>
      </c>
      <c r="D14" s="19">
        <v>2013</v>
      </c>
      <c r="F14" s="31">
        <f t="shared" si="0"/>
        <v>1</v>
      </c>
      <c r="H14" s="30">
        <f>$F14*'Table 8B LCOE Coal after-tax'!F14</f>
        <v>400.9627611744382</v>
      </c>
      <c r="I14" s="30"/>
      <c r="J14" s="30"/>
      <c r="K14" s="30"/>
      <c r="L14" s="30">
        <f>$F14*'Table 8B LCOE Coal after-tax'!J14</f>
        <v>400.9627611744382</v>
      </c>
      <c r="M14" s="20"/>
      <c r="P14" s="3"/>
      <c r="Q14" s="3"/>
    </row>
    <row r="15" spans="2:17" ht="12.75">
      <c r="B15" s="46" t="s">
        <v>165</v>
      </c>
      <c r="C15" s="19">
        <v>1</v>
      </c>
      <c r="D15" s="19">
        <v>2014</v>
      </c>
      <c r="F15" s="31">
        <f t="shared" si="0"/>
        <v>0.9274373052381658</v>
      </c>
      <c r="H15" s="30">
        <f>$F15*'Table 8B LCOE Coal after-tax'!F15</f>
        <v>-33.819806936655596</v>
      </c>
      <c r="I15" s="30">
        <f>$F15*'Table 8B LCOE Coal after-tax'!G15</f>
        <v>19.07047129867587</v>
      </c>
      <c r="J15" s="30">
        <f>$F15*'Table 8B LCOE Coal after-tax'!H15</f>
        <v>39.224442430669015</v>
      </c>
      <c r="K15" s="30">
        <f>$F15*'Table 8B LCOE Coal after-tax'!I15</f>
        <v>127.86906085973342</v>
      </c>
      <c r="L15" s="30">
        <f>$F15*'Table 8B LCOE Coal after-tax'!J15</f>
        <v>152.3441676524227</v>
      </c>
      <c r="M15" s="20"/>
      <c r="P15" s="3"/>
      <c r="Q15" s="3"/>
    </row>
    <row r="16" spans="2:17" ht="12.75">
      <c r="B16" s="46" t="s">
        <v>166</v>
      </c>
      <c r="C16" s="19">
        <v>2</v>
      </c>
      <c r="D16" s="19">
        <v>2015</v>
      </c>
      <c r="F16" s="31">
        <f t="shared" si="0"/>
        <v>0.8601399551474308</v>
      </c>
      <c r="H16" s="30">
        <f>$F16*'Table 8B LCOE Coal after-tax'!F16</f>
        <v>-60.38116097237888</v>
      </c>
      <c r="I16" s="30">
        <f>$F16*'Table 8B LCOE Coal after-tax'!G16</f>
        <v>18.217266506191702</v>
      </c>
      <c r="J16" s="30">
        <f>$F16*'Table 8B LCOE Coal after-tax'!H16</f>
        <v>37.84425309822022</v>
      </c>
      <c r="K16" s="30">
        <f>$F16*'Table 8B LCOE Coal after-tax'!I16</f>
        <v>122.75899461061827</v>
      </c>
      <c r="L16" s="30">
        <f>$F16*'Table 8B LCOE Coal after-tax'!J16</f>
        <v>118.43935324265132</v>
      </c>
      <c r="M16" s="20"/>
      <c r="P16" s="3"/>
      <c r="Q16" s="3"/>
    </row>
    <row r="17" spans="2:17" ht="12.75">
      <c r="B17" s="46" t="s">
        <v>167</v>
      </c>
      <c r="C17" s="19">
        <v>3</v>
      </c>
      <c r="D17" s="19">
        <v>2016</v>
      </c>
      <c r="F17" s="31">
        <f t="shared" si="0"/>
        <v>0.7977258821296102</v>
      </c>
      <c r="H17" s="30">
        <f>$F17*'Table 8B LCOE Coal after-tax'!F17</f>
        <v>-51.79530019694788</v>
      </c>
      <c r="I17" s="30">
        <f>$F17*'Table 8B LCOE Coal after-tax'!G17</f>
        <v>17.40223373402717</v>
      </c>
      <c r="J17" s="30">
        <f>$F17*'Table 8B LCOE Coal after-tax'!H17</f>
        <v>36.5126284482847</v>
      </c>
      <c r="K17" s="30">
        <f>$F17*'Table 8B LCOE Coal after-tax'!I17</f>
        <v>117.85314333653129</v>
      </c>
      <c r="L17" s="30">
        <f>$F17*'Table 8B LCOE Coal after-tax'!J17</f>
        <v>119.97270532189529</v>
      </c>
      <c r="M17" s="20"/>
      <c r="P17" s="3"/>
      <c r="Q17" s="3"/>
    </row>
    <row r="18" spans="2:17" ht="12.75">
      <c r="B18" s="46" t="s">
        <v>168</v>
      </c>
      <c r="C18" s="19">
        <v>4</v>
      </c>
      <c r="D18" s="19">
        <v>2017</v>
      </c>
      <c r="F18" s="31">
        <f t="shared" si="0"/>
        <v>0.7398407424410243</v>
      </c>
      <c r="H18" s="30">
        <f>$F18*'Table 8B LCOE Coal after-tax'!F18</f>
        <v>-44.439702262392956</v>
      </c>
      <c r="I18" s="30">
        <f>$F18*'Table 8B LCOE Coal after-tax'!G18</f>
        <v>16.623665182193186</v>
      </c>
      <c r="J18" s="30">
        <f>$F18*'Table 8B LCOE Coal after-tax'!H18</f>
        <v>35.22785963676971</v>
      </c>
      <c r="K18" s="30">
        <f>$F18*'Table 8B LCOE Coal after-tax'!I18</f>
        <v>113.14334593857615</v>
      </c>
      <c r="L18" s="30">
        <f>$F18*'Table 8B LCOE Coal after-tax'!J18</f>
        <v>120.55516849514609</v>
      </c>
      <c r="M18" s="20"/>
      <c r="P18" s="3"/>
      <c r="Q18" s="3"/>
    </row>
    <row r="19" spans="2:17" ht="12.75">
      <c r="B19" s="46" t="s">
        <v>169</v>
      </c>
      <c r="C19" s="19">
        <v>5</v>
      </c>
      <c r="D19" s="19">
        <v>2018</v>
      </c>
      <c r="F19" s="31">
        <f t="shared" si="0"/>
        <v>0.6861559044749075</v>
      </c>
      <c r="H19" s="30">
        <f>$F19*'Table 8B LCOE Coal after-tax'!F19</f>
        <v>-38.11907243769281</v>
      </c>
      <c r="I19" s="30">
        <f>$F19*'Table 8B LCOE Coal after-tax'!G19</f>
        <v>15.879929456947414</v>
      </c>
      <c r="J19" s="30">
        <f>$F19*'Table 8B LCOE Coal after-tax'!H19</f>
        <v>33.98829794863067</v>
      </c>
      <c r="K19" s="30">
        <f>$F19*'Table 8B LCOE Coal after-tax'!I19</f>
        <v>108.62176746208368</v>
      </c>
      <c r="L19" s="30">
        <f>$F19*'Table 8B LCOE Coal after-tax'!J19</f>
        <v>120.37092242996896</v>
      </c>
      <c r="M19" s="20"/>
      <c r="P19" s="3"/>
      <c r="Q19" s="3"/>
    </row>
    <row r="20" spans="2:17" ht="12.75">
      <c r="B20" t="s">
        <v>170</v>
      </c>
      <c r="C20" s="19">
        <v>6</v>
      </c>
      <c r="D20" s="19">
        <v>2019</v>
      </c>
      <c r="F20" s="31">
        <f t="shared" si="0"/>
        <v>0.6363665830194646</v>
      </c>
      <c r="H20" s="30">
        <f>$F20*'Table 8B LCOE Coal after-tax'!F20</f>
        <v>-32.70451046693543</v>
      </c>
      <c r="I20" s="30">
        <f>$F20*'Table 8B LCOE Coal after-tax'!G20</f>
        <v>15.169468152411186</v>
      </c>
      <c r="J20" s="30">
        <f>$F20*'Table 8B LCOE Coal after-tax'!H20</f>
        <v>32.79235268211203</v>
      </c>
      <c r="K20" s="30">
        <f>$F20*'Table 8B LCOE Coal after-tax'!I20</f>
        <v>104.28088606282081</v>
      </c>
      <c r="L20" s="30">
        <f>$F20*'Table 8B LCOE Coal after-tax'!J20</f>
        <v>119.53819643040859</v>
      </c>
      <c r="M20" s="20"/>
      <c r="P20" s="3"/>
      <c r="Q20" s="3"/>
    </row>
    <row r="21" spans="2:17" ht="12.75">
      <c r="B21" t="s">
        <v>171</v>
      </c>
      <c r="C21" s="19">
        <v>7</v>
      </c>
      <c r="D21" s="19">
        <v>2020</v>
      </c>
      <c r="F21" s="31">
        <f t="shared" si="0"/>
        <v>0.5901901088991919</v>
      </c>
      <c r="H21" s="30">
        <f>$F21*'Table 8B LCOE Coal after-tax'!F21</f>
        <v>-28.052942361514113</v>
      </c>
      <c r="I21" s="30">
        <f>$F21*'Table 8B LCOE Coal after-tax'!G21</f>
        <v>14.490792585123462</v>
      </c>
      <c r="J21" s="30">
        <f>$F21*'Table 8B LCOE Coal after-tax'!H21</f>
        <v>31.6384891074354</v>
      </c>
      <c r="K21" s="30">
        <f>$F21*'Table 8B LCOE Coal after-tax'!I21</f>
        <v>100.11348049407272</v>
      </c>
      <c r="L21" s="30">
        <f>$F21*'Table 8B LCOE Coal after-tax'!J21</f>
        <v>118.18981982511748</v>
      </c>
      <c r="M21" s="20"/>
      <c r="P21" s="3"/>
      <c r="Q21" s="3"/>
    </row>
    <row r="22" spans="2:17" ht="12.75">
      <c r="B22" t="s">
        <v>174</v>
      </c>
      <c r="C22" s="19">
        <v>8</v>
      </c>
      <c r="D22" s="19">
        <v>2021</v>
      </c>
      <c r="F22" s="31">
        <f t="shared" si="0"/>
        <v>0.547364324175686</v>
      </c>
      <c r="H22" s="30">
        <f>$F22*'Table 8B LCOE Coal after-tax'!F22</f>
        <v>-24.069237991168137</v>
      </c>
      <c r="I22" s="30">
        <f>$F22*'Table 8B LCOE Coal after-tax'!G22</f>
        <v>13.842480674689458</v>
      </c>
      <c r="J22" s="30">
        <f>$F22*'Table 8B LCOE Coal after-tax'!H22</f>
        <v>30.52522649731511</v>
      </c>
      <c r="K22" s="30">
        <f>$F22*'Table 8B LCOE Coal after-tax'!I22</f>
        <v>96.11261809378188</v>
      </c>
      <c r="L22" s="30">
        <f>$F22*'Table 8B LCOE Coal after-tax'!J22</f>
        <v>116.41108727461831</v>
      </c>
      <c r="M22" s="20"/>
      <c r="P22" s="3"/>
      <c r="Q22" s="3"/>
    </row>
    <row r="23" spans="2:17" ht="12.75">
      <c r="B23" t="s">
        <v>174</v>
      </c>
      <c r="C23" s="19">
        <v>9</v>
      </c>
      <c r="D23" s="19">
        <v>2022</v>
      </c>
      <c r="F23" s="31">
        <f t="shared" si="0"/>
        <v>0.5076460937970081</v>
      </c>
      <c r="H23" s="30">
        <f>$F23*'Table 8B LCOE Coal after-tax'!F23</f>
        <v>-22.026521129382907</v>
      </c>
      <c r="I23" s="30">
        <f>$F23*'Table 8B LCOE Coal after-tax'!G23</f>
        <v>13.223173963987744</v>
      </c>
      <c r="J23" s="30">
        <f>$F23*'Table 8B LCOE Coal after-tax'!H23</f>
        <v>29.451136226774096</v>
      </c>
      <c r="K23" s="30">
        <f>$F23*'Table 8B LCOE Coal after-tax'!I23</f>
        <v>92.27164325176057</v>
      </c>
      <c r="L23" s="30">
        <f>$F23*'Table 8B LCOE Coal after-tax'!J23</f>
        <v>112.9194323131395</v>
      </c>
      <c r="M23" s="20"/>
      <c r="P23" s="3"/>
      <c r="Q23" s="3"/>
    </row>
    <row r="24" spans="2:17" ht="12.75">
      <c r="B24" t="s">
        <v>124</v>
      </c>
      <c r="C24" s="19">
        <v>10</v>
      </c>
      <c r="D24" s="19">
        <v>2023</v>
      </c>
      <c r="F24" s="31">
        <f t="shared" si="0"/>
        <v>0.4708099252457784</v>
      </c>
      <c r="H24" s="30">
        <f>$F24*'Table 8B LCOE Coal after-tax'!F24</f>
        <v>-20.423639135237238</v>
      </c>
      <c r="I24" s="30">
        <f>$F24*'Table 8B LCOE Coal after-tax'!G24</f>
        <v>12.631574772691954</v>
      </c>
      <c r="J24" s="30">
        <f>$F24*'Table 8B LCOE Coal after-tax'!H24</f>
        <v>28.414839939821462</v>
      </c>
      <c r="K24" s="30">
        <f>$F24*'Table 8B LCOE Coal after-tax'!I24</f>
        <v>88.58416633779116</v>
      </c>
      <c r="L24" s="30">
        <f>$F24*'Table 8B LCOE Coal after-tax'!J24</f>
        <v>109.20694191506733</v>
      </c>
      <c r="M24" s="20"/>
      <c r="P24" s="3"/>
      <c r="Q24" s="3"/>
    </row>
    <row r="25" spans="2:17" ht="12.75">
      <c r="B25" t="s">
        <v>221</v>
      </c>
      <c r="C25" s="19">
        <v>11</v>
      </c>
      <c r="D25" s="19">
        <v>2024</v>
      </c>
      <c r="F25" s="31">
        <f t="shared" si="0"/>
        <v>0.436646688349327</v>
      </c>
      <c r="H25" s="30">
        <f>$F25*'Table 8B LCOE Coal after-tax'!F25</f>
        <v>-18.94589089628135</v>
      </c>
      <c r="I25" s="30">
        <f>$F25*'Table 8B LCOE Coal after-tax'!G25</f>
        <v>12.066443478142817</v>
      </c>
      <c r="J25" s="30">
        <f>$F25*'Table 8B LCOE Coal after-tax'!H25</f>
        <v>27.415007780639066</v>
      </c>
      <c r="K25" s="30">
        <f>$F25*'Table 8B LCOE Coal after-tax'!I25</f>
        <v>85.04405307219591</v>
      </c>
      <c r="L25" s="30">
        <f>$F25*'Table 8B LCOE Coal after-tax'!J25</f>
        <v>105.57961343469643</v>
      </c>
      <c r="M25" s="20"/>
      <c r="P25" s="3"/>
      <c r="Q25" s="3"/>
    </row>
    <row r="26" spans="2:17" ht="12.75">
      <c r="B26" t="s">
        <v>251</v>
      </c>
      <c r="C26" s="19">
        <v>12</v>
      </c>
      <c r="D26" s="19">
        <v>2025</v>
      </c>
      <c r="F26" s="31">
        <f t="shared" si="0"/>
        <v>0.40496242798386906</v>
      </c>
      <c r="H26" s="30">
        <f>$F26*'Table 8B LCOE Coal after-tax'!F26</f>
        <v>-17.56718804973027</v>
      </c>
      <c r="I26" s="30">
        <f>$F26*'Table 8B LCOE Coal after-tax'!G26</f>
        <v>11.526595917872738</v>
      </c>
      <c r="J26" s="30">
        <f>$F26*'Table 8B LCOE Coal after-tax'!H26</f>
        <v>26.450356687007357</v>
      </c>
      <c r="K26" s="30">
        <f>$F26*'Table 8B LCOE Coal after-tax'!I26</f>
        <v>81.64541432119343</v>
      </c>
      <c r="L26" s="30">
        <f>$F26*'Table 8B LCOE Coal after-tax'!J26</f>
        <v>102.05517887634325</v>
      </c>
      <c r="M26" s="20"/>
      <c r="P26" s="3"/>
      <c r="Q26" s="3"/>
    </row>
    <row r="27" spans="2:17" ht="12.75">
      <c r="B27" t="s">
        <v>252</v>
      </c>
      <c r="C27" s="19">
        <v>13</v>
      </c>
      <c r="D27" s="19">
        <v>2026</v>
      </c>
      <c r="F27" s="31">
        <f t="shared" si="0"/>
        <v>0.3755772629320644</v>
      </c>
      <c r="H27" s="30">
        <f>$F27*'Table 8B LCOE Coal after-tax'!F27</f>
        <v>-16.29611774575556</v>
      </c>
      <c r="I27" s="30">
        <f>$F27*'Table 8B LCOE Coal after-tax'!G27</f>
        <v>11.01090090834037</v>
      </c>
      <c r="J27" s="30">
        <f>$F27*'Table 8B LCOE Coal after-tax'!H27</f>
        <v>25.519648743780383</v>
      </c>
      <c r="K27" s="30">
        <f>$F27*'Table 8B LCOE Coal after-tax'!I27</f>
        <v>78.3825963000662</v>
      </c>
      <c r="L27" s="30">
        <f>$F27*'Table 8B LCOE Coal after-tax'!J27</f>
        <v>98.61702820643139</v>
      </c>
      <c r="M27" s="20"/>
      <c r="P27" s="3"/>
      <c r="Q27" s="3"/>
    </row>
    <row r="28" spans="2:17" ht="12.75">
      <c r="B28" t="s">
        <v>256</v>
      </c>
      <c r="C28" s="19">
        <v>14</v>
      </c>
      <c r="D28" s="19">
        <v>2027</v>
      </c>
      <c r="F28" s="31">
        <f t="shared" si="0"/>
        <v>0.3483243646424399</v>
      </c>
      <c r="H28" s="30">
        <f>$F28*'Table 8B LCOE Coal after-tax'!F28</f>
        <v>-15.110240341161479</v>
      </c>
      <c r="I28" s="30">
        <f>$F28*'Table 8B LCOE Coal after-tax'!G28</f>
        <v>10.518277874675935</v>
      </c>
      <c r="J28" s="30">
        <f>$F28*'Table 8B LCOE Coal after-tax'!H28</f>
        <v>24.62168959429693</v>
      </c>
      <c r="K28" s="30">
        <f>$F28*'Table 8B LCOE Coal after-tax'!I28</f>
        <v>75.2501711678416</v>
      </c>
      <c r="L28" s="30">
        <f>$F28*'Table 8B LCOE Coal after-tax'!J28</f>
        <v>95.27989829565298</v>
      </c>
      <c r="M28" s="20"/>
      <c r="P28" s="3"/>
      <c r="Q28" s="3"/>
    </row>
    <row r="29" spans="2:17" ht="12.75">
      <c r="B29" t="s">
        <v>257</v>
      </c>
      <c r="C29" s="19">
        <v>15</v>
      </c>
      <c r="D29" s="19">
        <v>2028</v>
      </c>
      <c r="F29" s="31">
        <f t="shared" si="0"/>
        <v>0.3230490100927807</v>
      </c>
      <c r="H29" s="30">
        <f>$F29*'Table 8B LCOE Coal after-tax'!F29</f>
        <v>-14.016941986911439</v>
      </c>
      <c r="I29" s="30">
        <f>$F29*'Table 8B LCOE Coal after-tax'!G29</f>
        <v>10.04769458647074</v>
      </c>
      <c r="J29" s="30">
        <f>$F29*'Table 8B LCOE Coal after-tax'!H29</f>
        <v>23.755326907689476</v>
      </c>
      <c r="K29" s="30">
        <f>$F29*'Table 8B LCOE Coal after-tax'!I29</f>
        <v>72.2429279978402</v>
      </c>
      <c r="L29" s="30">
        <f>$F29*'Table 8B LCOE Coal after-tax'!J29</f>
        <v>92.02900750508898</v>
      </c>
      <c r="M29" s="20"/>
      <c r="P29" s="3"/>
      <c r="Q29" s="3"/>
    </row>
    <row r="30" spans="2:17" ht="12.75">
      <c r="B30" t="s">
        <v>258</v>
      </c>
      <c r="C30" s="19">
        <v>16</v>
      </c>
      <c r="D30" s="19">
        <v>2029</v>
      </c>
      <c r="F30" s="31">
        <f t="shared" si="0"/>
        <v>0.29960770338030557</v>
      </c>
      <c r="H30" s="30">
        <f>$F30*'Table 8B LCOE Coal after-tax'!F30</f>
        <v>-12.996921449313534</v>
      </c>
      <c r="I30" s="30">
        <f>$F30*'Table 8B LCOE Coal after-tax'!G30</f>
        <v>9.598164994866508</v>
      </c>
      <c r="J30" s="30">
        <f>$F30*'Table 8B LCOE Coal after-tax'!H30</f>
        <v>22.91944890012368</v>
      </c>
      <c r="K30" s="30">
        <f>$F30*'Table 8B LCOE Coal after-tax'!I30</f>
        <v>69.3558641090706</v>
      </c>
      <c r="L30" s="30">
        <f>$F30*'Table 8B LCOE Coal after-tax'!J30</f>
        <v>88.87655655474725</v>
      </c>
      <c r="M30" s="20"/>
      <c r="P30" s="3"/>
      <c r="Q30" s="3"/>
    </row>
    <row r="31" spans="2:17" ht="12.75">
      <c r="B31" t="s">
        <v>226</v>
      </c>
      <c r="C31" s="19">
        <v>17</v>
      </c>
      <c r="D31" s="19">
        <v>2030</v>
      </c>
      <c r="F31" s="31">
        <f t="shared" si="0"/>
        <v>0.2778673610516263</v>
      </c>
      <c r="H31" s="30">
        <f>$F31*'Table 8B LCOE Coal after-tax'!F31</f>
        <v>-12.056531851926144</v>
      </c>
      <c r="I31" s="30">
        <f>$F31*'Table 8B LCOE Coal after-tax'!G31</f>
        <v>9.168747166412397</v>
      </c>
      <c r="J31" s="30">
        <f>$F31*'Table 8B LCOE Coal after-tax'!H31</f>
        <v>22.112982908071178</v>
      </c>
      <c r="K31" s="30">
        <f>$F31*'Table 8B LCOE Coal after-tax'!I31</f>
        <v>66.58417674404997</v>
      </c>
      <c r="L31" s="30">
        <f>$F31*'Table 8B LCOE Coal after-tax'!J31</f>
        <v>85.8093749666074</v>
      </c>
      <c r="M31" s="20"/>
      <c r="P31" s="3"/>
      <c r="Q31" s="3"/>
    </row>
    <row r="32" spans="2:17" ht="12.75">
      <c r="B32" t="s">
        <v>227</v>
      </c>
      <c r="C32" s="19">
        <v>18</v>
      </c>
      <c r="D32" s="19">
        <v>2031</v>
      </c>
      <c r="F32" s="31">
        <f t="shared" si="0"/>
        <v>0.2577045565473608</v>
      </c>
      <c r="H32" s="30">
        <f>$F32*'Table 8B LCOE Coal after-tax'!F32</f>
        <v>-11.179171432467228</v>
      </c>
      <c r="I32" s="30">
        <f>$F32*'Table 8B LCOE Coal after-tax'!G32</f>
        <v>8.75854130936041</v>
      </c>
      <c r="J32" s="30">
        <f>$F32*'Table 8B LCOE Coal after-tax'!H32</f>
        <v>21.334894011784428</v>
      </c>
      <c r="K32" s="30">
        <f>$F32*'Table 8B LCOE Coal after-tax'!I32</f>
        <v>63.92325507920622</v>
      </c>
      <c r="L32" s="30">
        <f>$F32*'Table 8B LCOE Coal after-tax'!J32</f>
        <v>82.83751896788382</v>
      </c>
      <c r="M32" s="20"/>
      <c r="P32" s="3"/>
      <c r="Q32" s="3"/>
    </row>
    <row r="33" spans="2:17" ht="12.75">
      <c r="B33" t="s">
        <v>228</v>
      </c>
      <c r="C33" s="19">
        <v>19</v>
      </c>
      <c r="D33" s="19">
        <v>2032</v>
      </c>
      <c r="F33" s="31">
        <f t="shared" si="0"/>
        <v>0.23900481947188085</v>
      </c>
      <c r="H33" s="30">
        <f>$F33*'Table 8B LCOE Coal after-tax'!F33</f>
        <v>-10.370304766349326</v>
      </c>
      <c r="I33" s="30">
        <f>$F33*'Table 8B LCOE Coal after-tax'!G33</f>
        <v>8.366687888263487</v>
      </c>
      <c r="J33" s="30">
        <f>$F33*'Table 8B LCOE Coal after-tax'!H33</f>
        <v>20.58418370720743</v>
      </c>
      <c r="K33" s="30">
        <f>$F33*'Table 8B LCOE Coal after-tax'!I33</f>
        <v>61.368672554570715</v>
      </c>
      <c r="L33" s="30">
        <f>$F33*'Table 8B LCOE Coal after-tax'!J33</f>
        <v>79.9492393836923</v>
      </c>
      <c r="M33" s="20"/>
      <c r="P33" s="3"/>
      <c r="Q33" s="3"/>
    </row>
    <row r="34" spans="2:17" ht="12.75">
      <c r="B34" t="s">
        <v>229</v>
      </c>
      <c r="C34" s="19">
        <v>20</v>
      </c>
      <c r="D34" s="19">
        <v>2033</v>
      </c>
      <c r="F34" s="31">
        <f t="shared" si="0"/>
        <v>0.22166198570993542</v>
      </c>
      <c r="H34" s="30">
        <f>$F34*'Table 8B LCOE Coal after-tax'!F34</f>
        <v>-9.6156520145078</v>
      </c>
      <c r="I34" s="30">
        <f>$F34*'Table 8B LCOE Coal after-tax'!G34</f>
        <v>7.992365822925684</v>
      </c>
      <c r="J34" s="30">
        <f>$F34*'Table 8B LCOE Coal after-tax'!H34</f>
        <v>19.859888624617792</v>
      </c>
      <c r="K34" s="30">
        <f>$F34*'Table 8B LCOE Coal after-tax'!I34</f>
        <v>58.91617951000134</v>
      </c>
      <c r="L34" s="30">
        <f>$F34*'Table 8B LCOE Coal after-tax'!J34</f>
        <v>77.15278194303701</v>
      </c>
      <c r="M34" s="20"/>
      <c r="P34" s="3"/>
      <c r="Q34" s="3"/>
    </row>
    <row r="35" spans="2:17" ht="12.75">
      <c r="B35" t="s">
        <v>230</v>
      </c>
      <c r="C35" s="19">
        <v>21</v>
      </c>
      <c r="D35" s="19">
        <v>2034</v>
      </c>
      <c r="F35" s="31">
        <f t="shared" si="0"/>
        <v>0.2055775947005634</v>
      </c>
      <c r="H35" s="30">
        <f>$F35*'Table 8B LCOE Coal after-tax'!F35</f>
        <v>-4.459956738296449</v>
      </c>
      <c r="I35" s="30">
        <f>$F35*'Table 8B LCOE Coal after-tax'!G35</f>
        <v>7.634790767930569</v>
      </c>
      <c r="J35" s="30">
        <f>$F35*'Table 8B LCOE Coal after-tax'!H35</f>
        <v>19.16107929235596</v>
      </c>
      <c r="K35" s="30">
        <f>$F35*'Table 8B LCOE Coal after-tax'!I35</f>
        <v>56.561696115686594</v>
      </c>
      <c r="L35" s="30">
        <f>$F35*'Table 8B LCOE Coal after-tax'!J35</f>
        <v>78.89760943767668</v>
      </c>
      <c r="M35" s="20"/>
      <c r="P35" s="3"/>
      <c r="Q35" s="3"/>
    </row>
    <row r="36" spans="2:17" ht="12.75">
      <c r="B36" t="s">
        <v>231</v>
      </c>
      <c r="C36" s="19">
        <v>22</v>
      </c>
      <c r="D36" s="19">
        <v>2035</v>
      </c>
      <c r="F36" s="31">
        <f t="shared" si="0"/>
        <v>0.19066033044643432</v>
      </c>
      <c r="H36" s="30"/>
      <c r="I36" s="30">
        <f>$F36*'Table 8B LCOE Coal after-tax'!G36</f>
        <v>7.293213469142753</v>
      </c>
      <c r="J36" s="30">
        <f>$F36*'Table 8B LCOE Coal after-tax'!H36</f>
        <v>18.486858944055033</v>
      </c>
      <c r="K36" s="30">
        <f>$F36*'Table 8B LCOE Coal after-tax'!I36</f>
        <v>54.301305585169324</v>
      </c>
      <c r="L36" s="30">
        <f>$F36*'Table 8B LCOE Coal after-tax'!J36</f>
        <v>80.0813779983671</v>
      </c>
      <c r="M36" s="20"/>
      <c r="P36" s="3"/>
      <c r="Q36" s="3"/>
    </row>
    <row r="37" spans="2:17" ht="12.75">
      <c r="B37" t="s">
        <v>232</v>
      </c>
      <c r="C37" s="19">
        <v>23</v>
      </c>
      <c r="D37" s="19">
        <v>2036</v>
      </c>
      <c r="F37" s="31">
        <f t="shared" si="0"/>
        <v>0.17682550308505932</v>
      </c>
      <c r="H37" s="30"/>
      <c r="I37" s="30">
        <f>$F37*'Table 8B LCOE Coal after-tax'!G37</f>
        <v>6.966918193738905</v>
      </c>
      <c r="J37" s="30">
        <f>$F37*'Table 8B LCOE Coal after-tax'!H37</f>
        <v>17.836362367840604</v>
      </c>
      <c r="K37" s="30">
        <f>$F37*'Table 8B LCOE Coal after-tax'!I37</f>
        <v>52.13124765960086</v>
      </c>
      <c r="L37" s="30">
        <f>$F37*'Table 8B LCOE Coal after-tax'!J37</f>
        <v>76.93452822118036</v>
      </c>
      <c r="M37" s="20"/>
      <c r="P37" s="3"/>
      <c r="Q37" s="3"/>
    </row>
    <row r="38" spans="2:17" ht="12.75">
      <c r="B38" t="s">
        <v>233</v>
      </c>
      <c r="C38" s="19">
        <v>24</v>
      </c>
      <c r="D38" s="19">
        <v>2037</v>
      </c>
      <c r="F38" s="31">
        <f t="shared" si="0"/>
        <v>0.16399456807859036</v>
      </c>
      <c r="H38" s="30"/>
      <c r="I38" s="30">
        <f>$F38*'Table 8B LCOE Coal after-tax'!G38</f>
        <v>6.655221230478438</v>
      </c>
      <c r="J38" s="30">
        <f>$F38*'Table 8B LCOE Coal after-tax'!H38</f>
        <v>17.208754796023683</v>
      </c>
      <c r="K38" s="30">
        <f>$F38*'Table 8B LCOE Coal after-tax'!I38</f>
        <v>50.047912352385204</v>
      </c>
      <c r="L38" s="30">
        <f>$F38*'Table 8B LCOE Coal after-tax'!J38</f>
        <v>73.91188837888733</v>
      </c>
      <c r="M38" s="20"/>
      <c r="P38" s="3"/>
      <c r="Q38" s="3"/>
    </row>
    <row r="39" spans="2:17" ht="12.75">
      <c r="B39" t="s">
        <v>234</v>
      </c>
      <c r="C39" s="19">
        <v>25</v>
      </c>
      <c r="D39" s="19">
        <v>2038</v>
      </c>
      <c r="F39" s="31">
        <f t="shared" si="0"/>
        <v>0.15209468029250478</v>
      </c>
      <c r="H39" s="30"/>
      <c r="I39" s="30">
        <f>$F39*'Table 8B LCOE Coal after-tax'!G39</f>
        <v>6.357469457071517</v>
      </c>
      <c r="J39" s="30">
        <f>$F39*'Table 8B LCOE Coal after-tax'!H39</f>
        <v>16.60323083386207</v>
      </c>
      <c r="K39" s="30">
        <f>$F39*'Table 8B LCOE Coal after-tax'!I39</f>
        <v>48.047833943808</v>
      </c>
      <c r="L39" s="30">
        <f>$F39*'Table 8B LCOE Coal after-tax'!J39</f>
        <v>71.00853423474159</v>
      </c>
      <c r="M39" s="20"/>
      <c r="P39" s="3"/>
      <c r="Q39" s="3"/>
    </row>
    <row r="40" spans="2:17" ht="12.75">
      <c r="B40" t="s">
        <v>235</v>
      </c>
      <c r="C40" s="19">
        <v>26</v>
      </c>
      <c r="D40" s="19">
        <v>2039</v>
      </c>
      <c r="F40" s="31">
        <f t="shared" si="0"/>
        <v>0.141058280431541</v>
      </c>
      <c r="H40" s="30"/>
      <c r="I40" s="30">
        <f>$F40*'Table 8B LCOE Coal after-tax'!G40</f>
        <v>6.0730389716423625</v>
      </c>
      <c r="J40" s="30">
        <f>$F40*'Table 8B LCOE Coal after-tax'!H40</f>
        <v>16.019013426015274</v>
      </c>
      <c r="K40" s="30">
        <f>$F40*'Table 8B LCOE Coal after-tax'!I40</f>
        <v>46.12768521565963</v>
      </c>
      <c r="L40" s="30">
        <f>$F40*'Table 8B LCOE Coal after-tax'!J40</f>
        <v>68.21973761331728</v>
      </c>
      <c r="M40" s="20"/>
      <c r="P40" s="3"/>
      <c r="Q40" s="3"/>
    </row>
    <row r="41" spans="2:17" ht="12.75">
      <c r="B41" t="s">
        <v>236</v>
      </c>
      <c r="C41" s="19">
        <v>27</v>
      </c>
      <c r="D41" s="19">
        <v>2040</v>
      </c>
      <c r="F41" s="31">
        <f t="shared" si="0"/>
        <v>0.1308227114849579</v>
      </c>
      <c r="H41" s="30"/>
      <c r="I41" s="30">
        <f>$F41*'Table 8B LCOE Coal after-tax'!G41</f>
        <v>5.801333785420344</v>
      </c>
      <c r="J41" s="30">
        <f>$F41*'Table 8B LCOE Coal after-tax'!H41</f>
        <v>15.455352859366828</v>
      </c>
      <c r="K41" s="30">
        <f>$F41*'Table 8B LCOE Coal after-tax'!I41</f>
        <v>44.28427191626176</v>
      </c>
      <c r="L41" s="30">
        <f>$F41*'Table 8B LCOE Coal after-tax'!J41</f>
        <v>65.54095856104892</v>
      </c>
      <c r="M41" s="20"/>
      <c r="P41" s="3"/>
      <c r="Q41" s="3"/>
    </row>
    <row r="42" spans="2:17" ht="12.75">
      <c r="B42" t="s">
        <v>237</v>
      </c>
      <c r="C42" s="19">
        <v>28</v>
      </c>
      <c r="D42" s="19">
        <v>2041</v>
      </c>
      <c r="F42" s="31">
        <f t="shared" si="0"/>
        <v>0.12132986300355939</v>
      </c>
      <c r="H42" s="30"/>
      <c r="I42" s="30">
        <f>$F42*'Table 8B LCOE Coal after-tax'!G42</f>
        <v>5.541784573919492</v>
      </c>
      <c r="J42" s="30">
        <f>$F42*'Table 8B LCOE Coal after-tax'!H42</f>
        <v>14.911525800934216</v>
      </c>
      <c r="K42" s="30">
        <f>$F42*'Table 8B LCOE Coal after-tax'!I42</f>
        <v>42.51452744668937</v>
      </c>
      <c r="L42" s="30">
        <f>$F42*'Table 8B LCOE Coal after-tax'!J42</f>
        <v>62.96783782154308</v>
      </c>
      <c r="M42" s="20"/>
      <c r="P42" s="3"/>
      <c r="Q42" s="3"/>
    </row>
    <row r="43" spans="2:17" ht="12.75">
      <c r="B43" t="s">
        <v>238</v>
      </c>
      <c r="C43" s="19">
        <v>29</v>
      </c>
      <c r="D43" s="19">
        <v>2042</v>
      </c>
      <c r="F43" s="31">
        <f t="shared" si="0"/>
        <v>0.11252584118893696</v>
      </c>
      <c r="H43" s="30"/>
      <c r="I43" s="30">
        <f>$F43*'Table 8B LCOE Coal after-tax'!G43</f>
        <v>5.2938474839897225</v>
      </c>
      <c r="J43" s="30">
        <f>$F43*'Table 8B LCOE Coal after-tax'!H43</f>
        <v>14.386834369631869</v>
      </c>
      <c r="K43" s="30">
        <f>$F43*'Table 8B LCOE Coal after-tax'!I43</f>
        <v>40.81550775934904</v>
      </c>
      <c r="L43" s="30">
        <f>$F43*'Table 8B LCOE Coal after-tax'!J43</f>
        <v>60.496189612970625</v>
      </c>
      <c r="M43" s="20"/>
      <c r="P43" s="3"/>
      <c r="Q43" s="3"/>
    </row>
    <row r="44" spans="2:17" ht="12.75">
      <c r="B44" t="s">
        <v>239</v>
      </c>
      <c r="C44" s="19">
        <v>30</v>
      </c>
      <c r="D44" s="19">
        <v>2043</v>
      </c>
      <c r="F44" s="31">
        <f t="shared" si="0"/>
        <v>0.10436066292192551</v>
      </c>
      <c r="H44" s="30"/>
      <c r="I44" s="30">
        <f>$F44*'Table 8B LCOE Coal after-tax'!G44</f>
        <v>5.057002994240071</v>
      </c>
      <c r="J44" s="30">
        <f>$F44*'Table 8B LCOE Coal after-tax'!H44</f>
        <v>13.880605240695978</v>
      </c>
      <c r="K44" s="30">
        <f>$F44*'Table 8B LCOE Coal after-tax'!I44</f>
        <v>39.1843864604264</v>
      </c>
      <c r="L44" s="30">
        <f>$F44*'Table 8B LCOE Coal after-tax'!J44</f>
        <v>58.12199469536245</v>
      </c>
      <c r="M44" s="20"/>
      <c r="P44" s="3"/>
      <c r="Q44" s="3"/>
    </row>
    <row r="45" spans="2:17" ht="12.75">
      <c r="B45" t="s">
        <v>240</v>
      </c>
      <c r="C45" s="19">
        <v>31</v>
      </c>
      <c r="D45" s="19">
        <v>2044</v>
      </c>
      <c r="F45" s="31">
        <f t="shared" si="0"/>
        <v>0.09678797199317918</v>
      </c>
      <c r="H45" s="30"/>
      <c r="I45" s="30">
        <f>$F45*'Table 8B LCOE Coal after-tax'!G45</f>
        <v>4.830754826446127</v>
      </c>
      <c r="J45" s="30">
        <f>$F45*'Table 8B LCOE Coal after-tax'!H45</f>
        <v>13.392188781621929</v>
      </c>
      <c r="K45" s="30">
        <f>$F45*'Table 8B LCOE Coal after-tax'!I45</f>
        <v>37.618450108056074</v>
      </c>
      <c r="L45" s="30">
        <f>$F45*'Table 8B LCOE Coal after-tax'!J45</f>
        <v>55.841393716124124</v>
      </c>
      <c r="M45" s="20"/>
      <c r="P45" s="3"/>
      <c r="Q45" s="3"/>
    </row>
    <row r="46" spans="2:17" ht="12.75">
      <c r="B46" t="s">
        <v>241</v>
      </c>
      <c r="C46" s="19">
        <v>32</v>
      </c>
      <c r="D46" s="19">
        <v>2045</v>
      </c>
      <c r="F46" s="31">
        <f t="shared" si="0"/>
        <v>0.08976477592482116</v>
      </c>
      <c r="H46" s="30"/>
      <c r="I46" s="30">
        <f>$F46*'Table 8B LCOE Coal after-tax'!G46</f>
        <v>4.614628905660623</v>
      </c>
      <c r="J46" s="30">
        <f>$F46*'Table 8B LCOE Coal after-tax'!H46</f>
        <v>12.920958218505426</v>
      </c>
      <c r="K46" s="30">
        <f>$F46*'Table 8B LCOE Coal after-tax'!I46</f>
        <v>36.11509369839205</v>
      </c>
      <c r="L46" s="30">
        <f>$F46*'Table 8B LCOE Coal after-tax'!J46</f>
        <v>53.6506808225581</v>
      </c>
      <c r="M46" s="20"/>
      <c r="P46" s="3"/>
      <c r="Q46" s="3"/>
    </row>
    <row r="47" spans="2:17" ht="12.75">
      <c r="B47" t="s">
        <v>242</v>
      </c>
      <c r="C47" s="19">
        <v>33</v>
      </c>
      <c r="D47" s="19">
        <v>2046</v>
      </c>
      <c r="F47" s="31">
        <f t="shared" si="0"/>
        <v>0.08325120188902391</v>
      </c>
      <c r="H47" s="30"/>
      <c r="I47" s="30">
        <f>$F47*'Table 8B LCOE Coal after-tax'!G47</f>
        <v>4.408172366848235</v>
      </c>
      <c r="J47" s="30">
        <f>$F47*'Table 8B LCOE Coal after-tax'!H47</f>
        <v>12.466308831717607</v>
      </c>
      <c r="K47" s="30">
        <f>$F47*'Table 8B LCOE Coal after-tax'!I47</f>
        <v>34.67181633206942</v>
      </c>
      <c r="L47" s="30">
        <f>$F47*'Table 8B LCOE Coal after-tax'!J47</f>
        <v>51.546297530635265</v>
      </c>
      <c r="M47" s="20"/>
      <c r="P47" s="3"/>
      <c r="Q47" s="3"/>
    </row>
    <row r="48" spans="2:17" ht="12.75">
      <c r="B48" t="s">
        <v>243</v>
      </c>
      <c r="C48" s="19">
        <v>34</v>
      </c>
      <c r="D48" s="19">
        <v>2047</v>
      </c>
      <c r="F48" s="31">
        <f t="shared" si="0"/>
        <v>0.07721027033779485</v>
      </c>
      <c r="H48" s="30"/>
      <c r="I48" s="30">
        <f>$F48*'Table 8B LCOE Coal after-tax'!G48</f>
        <v>4.2109526059631275</v>
      </c>
      <c r="J48" s="30">
        <f>$F48*'Table 8B LCOE Coal after-tax'!H48</f>
        <v>12.027657179881867</v>
      </c>
      <c r="K48" s="30">
        <f>$F48*'Table 8B LCOE Coal after-tax'!I48</f>
        <v>33.286217053848546</v>
      </c>
      <c r="L48" s="30">
        <f>$F48*'Table 8B LCOE Coal after-tax'!J48</f>
        <v>49.52482683969354</v>
      </c>
      <c r="M48" s="20"/>
      <c r="P48" s="3"/>
      <c r="Q48" s="3"/>
    </row>
    <row r="49" spans="2:17" ht="12.75">
      <c r="B49" t="s">
        <v>244</v>
      </c>
      <c r="C49" s="19">
        <v>35</v>
      </c>
      <c r="D49" s="19">
        <v>2048</v>
      </c>
      <c r="F49" s="31">
        <f t="shared" si="0"/>
        <v>0.07160768505879475</v>
      </c>
      <c r="H49" s="30"/>
      <c r="I49" s="30">
        <f>$F49*'Table 8B LCOE Coal after-tax'!G49</f>
        <v>4.022556373480878</v>
      </c>
      <c r="J49" s="30">
        <f>$F49*'Table 8B LCOE Coal after-tax'!H49</f>
        <v>11.604440351156612</v>
      </c>
      <c r="K49" s="30">
        <f>$F49*'Table 8B LCOE Coal after-tax'!I49</f>
        <v>31.95599085852067</v>
      </c>
      <c r="L49" s="30">
        <f>$F49*'Table 8B LCOE Coal after-tax'!J49</f>
        <v>47.582987583158165</v>
      </c>
      <c r="M49" s="20"/>
      <c r="P49" s="3"/>
      <c r="Q49" s="3"/>
    </row>
    <row r="50" spans="2:17" ht="12.75">
      <c r="B50" t="s">
        <v>245</v>
      </c>
      <c r="C50" s="19">
        <v>36</v>
      </c>
      <c r="D50" s="19">
        <v>2049</v>
      </c>
      <c r="F50" s="31">
        <f t="shared" si="0"/>
        <v>0.06641163846527186</v>
      </c>
      <c r="H50" s="30"/>
      <c r="I50" s="30">
        <f>$F50*'Table 8B LCOE Coal after-tax'!G50</f>
        <v>3.8425889084854044</v>
      </c>
      <c r="J50" s="30">
        <f>$F50*'Table 8B LCOE Coal after-tax'!H50</f>
        <v>11.196115240863094</v>
      </c>
      <c r="K50" s="30">
        <f>$F50*'Table 8B LCOE Coal after-tax'!I50</f>
        <v>30.67892485643054</v>
      </c>
      <c r="L50" s="30">
        <f>$F50*'Table 8B LCOE Coal after-tax'!J50</f>
        <v>45.717629005779045</v>
      </c>
      <c r="M50" s="20"/>
      <c r="P50" s="3"/>
      <c r="Q50" s="3"/>
    </row>
    <row r="51" spans="2:17" ht="12.75">
      <c r="B51" t="s">
        <v>246</v>
      </c>
      <c r="C51" s="19">
        <v>37</v>
      </c>
      <c r="D51" s="19">
        <v>2050</v>
      </c>
      <c r="F51" s="31">
        <f t="shared" si="0"/>
        <v>0.06159263101468307</v>
      </c>
      <c r="H51" s="30"/>
      <c r="I51" s="30">
        <f>$F51*'Table 8B LCOE Coal after-tax'!G51</f>
        <v>3.670673111496483</v>
      </c>
      <c r="J51" s="30">
        <f>$F51*'Table 8B LCOE Coal after-tax'!H51</f>
        <v>10.802157854531345</v>
      </c>
      <c r="K51" s="30">
        <f>$F51*'Table 8B LCOE Coal after-tax'!I51</f>
        <v>29.45289459223742</v>
      </c>
      <c r="L51" s="30">
        <f>$F51*'Table 8B LCOE Coal after-tax'!J51</f>
        <v>43.92572555826524</v>
      </c>
      <c r="M51" s="20"/>
      <c r="P51" s="3"/>
      <c r="Q51" s="3"/>
    </row>
    <row r="52" spans="2:17" ht="12.75">
      <c r="B52" t="s">
        <v>247</v>
      </c>
      <c r="C52" s="19">
        <v>38</v>
      </c>
      <c r="D52" s="19">
        <v>2051</v>
      </c>
      <c r="F52" s="31">
        <f t="shared" si="0"/>
        <v>0.05712330373078633</v>
      </c>
      <c r="H52" s="30"/>
      <c r="I52" s="30">
        <f>$F52*'Table 8B LCOE Coal after-tax'!G52</f>
        <v>3.5064487543045852</v>
      </c>
      <c r="J52" s="30">
        <f>$F52*'Table 8B LCOE Coal after-tax'!H52</f>
        <v>10.422062635469798</v>
      </c>
      <c r="K52" s="30">
        <f>$F52*'Table 8B LCOE Coal after-tax'!I52</f>
        <v>28.275860510790324</v>
      </c>
      <c r="L52" s="30">
        <f>$F52*'Table 8B LCOE Coal after-tax'!J52</f>
        <v>42.20437190056471</v>
      </c>
      <c r="M52" s="20"/>
      <c r="P52" s="3"/>
      <c r="Q52" s="3"/>
    </row>
    <row r="53" spans="2:17" ht="12.75">
      <c r="B53" t="s">
        <v>248</v>
      </c>
      <c r="C53" s="19">
        <v>39</v>
      </c>
      <c r="D53" s="19">
        <v>2052</v>
      </c>
      <c r="F53" s="31">
        <f t="shared" si="0"/>
        <v>0.052978282878381744</v>
      </c>
      <c r="H53" s="30"/>
      <c r="I53" s="30">
        <f>$F53*'Table 8B LCOE Coal after-tax'!G53</f>
        <v>3.349571725157407</v>
      </c>
      <c r="J53" s="30">
        <f>$F53*'Table 8B LCOE Coal after-tax'!H53</f>
        <v>10.055341815995725</v>
      </c>
      <c r="K53" s="30">
        <f>$F53*'Table 8B LCOE Coal after-tax'!I53</f>
        <v>27.145864564238572</v>
      </c>
      <c r="L53" s="30">
        <f>$F53*'Table 8B LCOE Coal after-tax'!J53</f>
        <v>40.5507781053917</v>
      </c>
      <c r="M53" s="20"/>
      <c r="P53" s="3"/>
      <c r="Q53" s="3"/>
    </row>
    <row r="54" spans="2:17" ht="12.75">
      <c r="B54" t="s">
        <v>249</v>
      </c>
      <c r="C54" s="19">
        <v>40</v>
      </c>
      <c r="D54" s="19">
        <v>2053</v>
      </c>
      <c r="F54" s="31">
        <f t="shared" si="0"/>
        <v>0.04913403590887162</v>
      </c>
      <c r="H54" s="30"/>
      <c r="I54" s="30">
        <f>$F54*'Table 8B LCOE Coal after-tax'!G54</f>
        <v>3.199713307716398</v>
      </c>
      <c r="J54" s="30">
        <f>$F54*'Table 8B LCOE Coal after-tax'!H54</f>
        <v>9.701524791493872</v>
      </c>
      <c r="K54" s="30">
        <f>$F54*'Table 8B LCOE Coal after-tax'!I54</f>
        <v>26.061026954733233</v>
      </c>
      <c r="L54" s="30">
        <f>$F54*'Table 8B LCOE Coal after-tax'!J54</f>
        <v>38.962265053943504</v>
      </c>
      <c r="M54" s="20"/>
      <c r="P54" s="3"/>
      <c r="Q54" s="3"/>
    </row>
    <row r="55" spans="2:16" ht="12.75">
      <c r="B55" s="76"/>
      <c r="C55" s="11"/>
      <c r="D55" s="11"/>
      <c r="E55" s="12"/>
      <c r="F55" s="12"/>
      <c r="G55" s="12"/>
      <c r="H55" s="12"/>
      <c r="I55" s="12"/>
      <c r="J55" s="12"/>
      <c r="K55" s="12"/>
      <c r="L55" s="12"/>
      <c r="M55" s="37"/>
      <c r="N55" s="37"/>
      <c r="O55" s="37"/>
      <c r="P55" s="37"/>
    </row>
    <row r="56" spans="2:16" ht="12.75">
      <c r="B56" s="46"/>
      <c r="C56" s="38"/>
      <c r="D56" s="38"/>
      <c r="E56" s="37"/>
      <c r="F56" s="37"/>
      <c r="G56" s="37"/>
      <c r="H56" s="37"/>
      <c r="I56" s="37"/>
      <c r="J56" s="37"/>
      <c r="K56" s="37"/>
      <c r="L56" s="37"/>
      <c r="M56" s="37"/>
      <c r="N56" s="37"/>
      <c r="O56" s="37"/>
      <c r="P56" s="37"/>
    </row>
    <row r="57" spans="1:16" ht="12.75">
      <c r="A57"/>
      <c r="B57" t="s">
        <v>250</v>
      </c>
      <c r="C57" s="83" t="s">
        <v>350</v>
      </c>
      <c r="D57" s="38"/>
      <c r="E57" s="37"/>
      <c r="F57" s="37"/>
      <c r="G57" s="37"/>
      <c r="H57" s="84">
        <f>SUM(H9:H54)</f>
        <v>2445.621406600735</v>
      </c>
      <c r="I57" s="84">
        <f>SUM(I9:I54)</f>
        <v>357.9361580874036</v>
      </c>
      <c r="J57" s="84">
        <f>SUM(J9:J54)</f>
        <v>848.731327513269</v>
      </c>
      <c r="K57" s="84">
        <f>SUM(K9:K54)</f>
        <v>2573.60093128816</v>
      </c>
      <c r="L57" s="84">
        <f>SUM(L9:L54)</f>
        <v>6225.889823489567</v>
      </c>
      <c r="M57" s="37"/>
      <c r="N57" s="37"/>
      <c r="O57" s="37"/>
      <c r="P57" s="37"/>
    </row>
    <row r="58" spans="1:16" ht="12.75">
      <c r="A58"/>
      <c r="B58" t="s">
        <v>20</v>
      </c>
      <c r="C58" s="83" t="s">
        <v>118</v>
      </c>
      <c r="D58" s="38"/>
      <c r="E58" s="37"/>
      <c r="F58" s="37"/>
      <c r="G58" s="37"/>
      <c r="H58" s="104">
        <f>H57/$L57</f>
        <v>0.3928147583617183</v>
      </c>
      <c r="I58" s="104">
        <f>I57/$L57</f>
        <v>0.05749156638412579</v>
      </c>
      <c r="J58" s="104">
        <f>J57/$L57</f>
        <v>0.136322895453611</v>
      </c>
      <c r="K58" s="104">
        <f>K57/$L57</f>
        <v>0.4133707798005451</v>
      </c>
      <c r="L58" s="84"/>
      <c r="M58" s="37"/>
      <c r="N58" s="37"/>
      <c r="O58" s="37"/>
      <c r="P58" s="37"/>
    </row>
    <row r="59" spans="1:16" ht="12.75">
      <c r="A59"/>
      <c r="B59" s="37"/>
      <c r="C59" s="95"/>
      <c r="D59" s="11"/>
      <c r="E59" s="12"/>
      <c r="F59" s="12"/>
      <c r="G59" s="12"/>
      <c r="H59" s="105"/>
      <c r="I59" s="105"/>
      <c r="J59" s="105"/>
      <c r="K59" s="105"/>
      <c r="L59" s="91"/>
      <c r="M59" s="37"/>
      <c r="N59" s="37"/>
      <c r="O59" s="37"/>
      <c r="P59" s="37"/>
    </row>
    <row r="60" spans="1:16" ht="12.75">
      <c r="A60"/>
      <c r="B60"/>
      <c r="C60" s="83"/>
      <c r="D60" s="38"/>
      <c r="E60" s="37"/>
      <c r="F60" s="37"/>
      <c r="G60" s="37"/>
      <c r="H60" s="84"/>
      <c r="I60" s="84"/>
      <c r="J60" s="84"/>
      <c r="K60" s="84"/>
      <c r="L60" s="84"/>
      <c r="M60" s="37"/>
      <c r="N60" s="37"/>
      <c r="O60" s="37"/>
      <c r="P60" s="37"/>
    </row>
    <row r="61" spans="1:16" ht="12.75">
      <c r="A61"/>
      <c r="B61" t="s">
        <v>21</v>
      </c>
      <c r="C61" s="83" t="s">
        <v>22</v>
      </c>
      <c r="D61" s="38"/>
      <c r="E61" s="37"/>
      <c r="F61" s="37"/>
      <c r="G61" s="37"/>
      <c r="H61" s="84">
        <f>H57/((1+'Table 5 LCOE inputs'!$I$28)^(2013-2007))</f>
        <v>1556.3117378777663</v>
      </c>
      <c r="I61" s="84">
        <f>I57/((1+'Table 5 LCOE inputs'!$I$28)^(2013-2007))</f>
        <v>227.77860986119592</v>
      </c>
      <c r="J61" s="84">
        <f>J57/((1+'Table 5 LCOE inputs'!$I$28)^(2013-2007))</f>
        <v>540.1042547911931</v>
      </c>
      <c r="K61" s="84">
        <f>K57/((1+'Table 5 LCOE inputs'!$I$28)^(2013-2007))</f>
        <v>1637.7536306995582</v>
      </c>
      <c r="L61" s="84">
        <f>L57/((1+'Table 5 LCOE inputs'!$I$28)^(2013-2007))</f>
        <v>3961.948233229713</v>
      </c>
      <c r="M61" s="37"/>
      <c r="N61" s="37"/>
      <c r="O61" s="37"/>
      <c r="P61" s="37"/>
    </row>
    <row r="62" spans="1:16" ht="13.5" thickBot="1">
      <c r="A62"/>
      <c r="B62" s="86"/>
      <c r="C62" s="87"/>
      <c r="D62" s="75"/>
      <c r="E62" s="9"/>
      <c r="F62" s="9"/>
      <c r="G62" s="9"/>
      <c r="H62" s="94"/>
      <c r="I62" s="94"/>
      <c r="J62" s="94"/>
      <c r="K62" s="94"/>
      <c r="L62" s="89"/>
      <c r="M62" s="9"/>
      <c r="N62" s="37"/>
      <c r="O62" s="37"/>
      <c r="P62" s="37"/>
    </row>
    <row r="63" spans="1:12" ht="12.75">
      <c r="A63"/>
      <c r="B63" s="15"/>
      <c r="C63" s="32"/>
      <c r="H63" s="35"/>
      <c r="I63" s="35"/>
      <c r="J63" s="35"/>
      <c r="K63" s="35"/>
      <c r="L63" s="34"/>
    </row>
    <row r="64" spans="1:12" ht="12.75">
      <c r="A64"/>
      <c r="B64" s="15" t="s">
        <v>177</v>
      </c>
      <c r="H64" s="35"/>
      <c r="I64" s="35"/>
      <c r="J64" s="35"/>
      <c r="K64" s="35"/>
      <c r="L64" s="34"/>
    </row>
    <row r="65" spans="1:12" ht="12.75">
      <c r="A65"/>
      <c r="B65" s="15" t="s">
        <v>155</v>
      </c>
      <c r="C65" s="99" t="s">
        <v>453</v>
      </c>
      <c r="H65" s="35"/>
      <c r="I65" s="35"/>
      <c r="J65" s="35"/>
      <c r="K65" s="35"/>
      <c r="L65" s="34"/>
    </row>
    <row r="66" spans="1:3" ht="12.75">
      <c r="A66"/>
      <c r="B66" s="15" t="s">
        <v>156</v>
      </c>
      <c r="C66" s="99" t="s">
        <v>587</v>
      </c>
    </row>
    <row r="67" spans="1:3" ht="12.75">
      <c r="A67"/>
      <c r="B67" s="15" t="s">
        <v>157</v>
      </c>
      <c r="C67" s="99" t="s">
        <v>588</v>
      </c>
    </row>
    <row r="68" spans="1:3" ht="12.75">
      <c r="A68"/>
      <c r="B68" s="15" t="s">
        <v>158</v>
      </c>
      <c r="C68" s="99" t="s">
        <v>589</v>
      </c>
    </row>
    <row r="69" spans="1:3" ht="12.75">
      <c r="A69"/>
      <c r="B69" s="15" t="s">
        <v>159</v>
      </c>
      <c r="C69" s="99" t="s">
        <v>590</v>
      </c>
    </row>
    <row r="70" spans="1:3" ht="12.75">
      <c r="A70"/>
      <c r="B70" s="15" t="s">
        <v>210</v>
      </c>
      <c r="C70" s="99" t="s">
        <v>23</v>
      </c>
    </row>
    <row r="71" spans="1:3" ht="12.75">
      <c r="A71"/>
      <c r="B71" s="15" t="s">
        <v>250</v>
      </c>
      <c r="C71" s="99" t="s">
        <v>454</v>
      </c>
    </row>
    <row r="72" spans="1:3" ht="12.75">
      <c r="A72"/>
      <c r="B72" s="15" t="s">
        <v>455</v>
      </c>
      <c r="C72" s="99" t="s">
        <v>456</v>
      </c>
    </row>
    <row r="73" spans="1:3" ht="12.75">
      <c r="A73"/>
      <c r="B73" s="15" t="s">
        <v>21</v>
      </c>
      <c r="C73" s="99" t="s">
        <v>457</v>
      </c>
    </row>
    <row r="74" spans="1:2" ht="12.75">
      <c r="A74"/>
      <c r="B74"/>
    </row>
    <row r="75" spans="1:2" ht="12.75">
      <c r="A75"/>
      <c r="B75"/>
    </row>
    <row r="76" spans="1:12" ht="12.75">
      <c r="A76"/>
      <c r="B76"/>
      <c r="H76" s="39"/>
      <c r="I76" s="39"/>
      <c r="J76" s="39"/>
      <c r="K76" s="39"/>
      <c r="L76" s="39"/>
    </row>
    <row r="77" spans="1:8" ht="12.75">
      <c r="A77"/>
      <c r="B77"/>
      <c r="H77" s="39"/>
    </row>
    <row r="78" spans="1:2" ht="12.75">
      <c r="A78"/>
      <c r="B78"/>
    </row>
    <row r="79" spans="1:8" ht="12.75">
      <c r="A79"/>
      <c r="B79"/>
      <c r="H79" s="3"/>
    </row>
    <row r="80" spans="1:8" ht="12.75">
      <c r="A80"/>
      <c r="B80"/>
      <c r="H80" s="1"/>
    </row>
    <row r="81" spans="1:2" ht="12.75">
      <c r="A81"/>
      <c r="B81"/>
    </row>
    <row r="82" spans="1:12" ht="12.75">
      <c r="A82"/>
      <c r="B82"/>
      <c r="H82" s="108"/>
      <c r="I82" s="108"/>
      <c r="J82" s="108"/>
      <c r="K82" s="108"/>
      <c r="L82" s="108"/>
    </row>
    <row r="83" spans="1:2" ht="12.75">
      <c r="A83"/>
      <c r="B83"/>
    </row>
    <row r="84" spans="1:2" ht="12.75">
      <c r="A84"/>
      <c r="B84"/>
    </row>
    <row r="85" spans="1:2" ht="12.75">
      <c r="A85"/>
      <c r="B85"/>
    </row>
    <row r="86" spans="1:2" ht="12.75">
      <c r="A86"/>
      <c r="B86"/>
    </row>
    <row r="87" spans="1:2" ht="12.75">
      <c r="A87"/>
      <c r="B87"/>
    </row>
    <row r="88" spans="1:12" ht="12.75">
      <c r="A88"/>
      <c r="B88"/>
      <c r="H88" s="27"/>
      <c r="I88" s="27"/>
      <c r="J88" s="27"/>
      <c r="K88" s="27"/>
      <c r="L88" s="27"/>
    </row>
    <row r="89" spans="1:12" ht="12.75">
      <c r="A89"/>
      <c r="B89"/>
      <c r="H89" s="41"/>
      <c r="I89" s="41"/>
      <c r="J89" s="41"/>
      <c r="K89" s="41"/>
      <c r="L89" s="41"/>
    </row>
    <row r="90" spans="1:12" ht="12.75">
      <c r="A90"/>
      <c r="B90"/>
      <c r="H90" s="41"/>
      <c r="I90" s="41"/>
      <c r="J90" s="41"/>
      <c r="K90" s="41"/>
      <c r="L90" s="41"/>
    </row>
    <row r="91" spans="1:2" ht="12.75">
      <c r="A91"/>
      <c r="B91"/>
    </row>
    <row r="92" spans="1:2" ht="12.75">
      <c r="A92"/>
      <c r="B92"/>
    </row>
    <row r="93" spans="1:2" ht="12.75">
      <c r="A93"/>
      <c r="B93"/>
    </row>
    <row r="94" spans="1:2" ht="12.75">
      <c r="A94"/>
      <c r="B94"/>
    </row>
    <row r="95" spans="1:2" ht="12.75">
      <c r="A95"/>
      <c r="B95"/>
    </row>
    <row r="96" spans="1:2" ht="12.75">
      <c r="A96"/>
      <c r="B96"/>
    </row>
    <row r="97" spans="1:2" ht="12.75">
      <c r="A97"/>
      <c r="B97"/>
    </row>
    <row r="98" spans="1:2" ht="12.75">
      <c r="A98"/>
      <c r="B98"/>
    </row>
    <row r="99" spans="1:2" ht="12.75">
      <c r="A99"/>
      <c r="B99"/>
    </row>
    <row r="100" spans="1:2" ht="12.75">
      <c r="A100"/>
      <c r="B100"/>
    </row>
    <row r="101" spans="1:2" ht="12.75">
      <c r="A101"/>
      <c r="B101"/>
    </row>
    <row r="102" spans="1:2" ht="12.75">
      <c r="A102"/>
      <c r="B102"/>
    </row>
    <row r="103" spans="1:2" ht="12.75">
      <c r="A103"/>
      <c r="B103"/>
    </row>
    <row r="104" spans="1:2" ht="12.75">
      <c r="A104"/>
      <c r="B104"/>
    </row>
    <row r="105" spans="1:2" ht="12.75">
      <c r="A105"/>
      <c r="B105"/>
    </row>
    <row r="106" spans="1:2" ht="12.75">
      <c r="A106"/>
      <c r="B106"/>
    </row>
    <row r="107" spans="1:2" ht="12.75">
      <c r="A107"/>
      <c r="B107"/>
    </row>
    <row r="108" spans="1:2" ht="12.75">
      <c r="A108"/>
      <c r="B108"/>
    </row>
    <row r="109" spans="1:2" ht="12.75">
      <c r="A109"/>
      <c r="B109"/>
    </row>
    <row r="110" spans="1:2" ht="12.75">
      <c r="A110"/>
      <c r="B110"/>
    </row>
    <row r="111" spans="1:2" ht="12.75">
      <c r="A111"/>
      <c r="B111"/>
    </row>
    <row r="112" spans="1:2" ht="12.75">
      <c r="A112"/>
      <c r="B112"/>
    </row>
    <row r="113" spans="1:2" ht="12.75">
      <c r="A113"/>
      <c r="B113"/>
    </row>
    <row r="114" spans="1:2" ht="12.75">
      <c r="A114"/>
      <c r="B114" s="15"/>
    </row>
    <row r="115" ht="12.75">
      <c r="B115" s="15"/>
    </row>
    <row r="116" ht="12.75">
      <c r="B116" s="15"/>
    </row>
    <row r="117" ht="12.75">
      <c r="B117" s="15"/>
    </row>
  </sheetData>
  <sheetProtection/>
  <printOptions horizontalCentered="1"/>
  <pageMargins left="0.75" right="0.5" top="1" bottom="1" header="0.5" footer="0.5"/>
  <pageSetup fitToHeight="2" orientation="portrait" scale="89" r:id="rId1"/>
  <rowBreaks count="1" manualBreakCount="1">
    <brk id="34" max="12" man="1"/>
  </rowBreaks>
</worksheet>
</file>

<file path=xl/worksheets/sheet15.xml><?xml version="1.0" encoding="utf-8"?>
<worksheet xmlns="http://schemas.openxmlformats.org/spreadsheetml/2006/main" xmlns:r="http://schemas.openxmlformats.org/officeDocument/2006/relationships">
  <dimension ref="A1:T114"/>
  <sheetViews>
    <sheetView zoomScalePageLayoutView="0" workbookViewId="0" topLeftCell="A46">
      <selection activeCell="J60" sqref="J60"/>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6" width="8.8515625" style="0" customWidth="1"/>
    <col min="7" max="7" width="3.8515625" style="0" customWidth="1"/>
    <col min="8" max="9" width="11.8515625" style="0" customWidth="1"/>
    <col min="10" max="10" width="3.8515625" style="0" customWidth="1"/>
    <col min="11" max="13" width="11.8515625" style="0" customWidth="1"/>
    <col min="14" max="14" width="2.8515625" style="0" customWidth="1"/>
    <col min="15" max="19" width="8.8515625" style="0" customWidth="1"/>
    <col min="20" max="20" width="13.421875" style="0" bestFit="1" customWidth="1"/>
    <col min="21" max="23" width="8.8515625" style="0" customWidth="1"/>
  </cols>
  <sheetData>
    <row r="1" ht="12.75">
      <c r="N1" s="20"/>
    </row>
    <row r="2" ht="12.75">
      <c r="N2" s="20"/>
    </row>
    <row r="3" spans="1:14" ht="16.5" thickBot="1">
      <c r="A3" s="9"/>
      <c r="B3" s="42" t="s">
        <v>312</v>
      </c>
      <c r="C3" s="75"/>
      <c r="D3" s="75"/>
      <c r="E3" s="9"/>
      <c r="F3" s="9"/>
      <c r="G3" s="9"/>
      <c r="H3" s="9"/>
      <c r="I3" s="9"/>
      <c r="J3" s="9"/>
      <c r="K3" s="9"/>
      <c r="L3" s="9"/>
      <c r="M3" s="9"/>
      <c r="N3" s="79"/>
    </row>
    <row r="4" spans="2:14" ht="15.75">
      <c r="B4" s="74"/>
      <c r="K4" s="27"/>
      <c r="N4" s="20"/>
    </row>
    <row r="5" spans="2:14" ht="38.25" customHeight="1">
      <c r="B5" s="74"/>
      <c r="H5" s="22"/>
      <c r="I5" s="22"/>
      <c r="K5" s="92" t="s">
        <v>122</v>
      </c>
      <c r="L5" s="92"/>
      <c r="M5" s="92"/>
      <c r="N5" s="20"/>
    </row>
    <row r="6" spans="2:14" ht="21" customHeight="1">
      <c r="B6" s="74"/>
      <c r="H6" s="22"/>
      <c r="I6" s="22"/>
      <c r="K6" s="93"/>
      <c r="L6" s="101" t="s">
        <v>26</v>
      </c>
      <c r="M6" s="93"/>
      <c r="N6" s="20"/>
    </row>
    <row r="7" spans="1:18" s="22" customFormat="1" ht="27" customHeight="1">
      <c r="A7" s="37"/>
      <c r="B7" s="74"/>
      <c r="C7" s="96" t="s">
        <v>72</v>
      </c>
      <c r="D7" s="96" t="s">
        <v>73</v>
      </c>
      <c r="E7" s="96"/>
      <c r="F7" s="96" t="s">
        <v>78</v>
      </c>
      <c r="G7" s="96"/>
      <c r="H7" s="97" t="s">
        <v>25</v>
      </c>
      <c r="I7" s="97" t="s">
        <v>121</v>
      </c>
      <c r="J7" s="96"/>
      <c r="K7" s="97" t="s">
        <v>121</v>
      </c>
      <c r="L7" s="107" t="s">
        <v>27</v>
      </c>
      <c r="M7" s="97" t="s">
        <v>111</v>
      </c>
      <c r="P7"/>
      <c r="Q7"/>
      <c r="R7"/>
    </row>
    <row r="8" spans="1:18" s="22" customFormat="1" ht="12.75" customHeight="1">
      <c r="A8" s="17"/>
      <c r="B8" s="50"/>
      <c r="C8" s="80" t="s">
        <v>153</v>
      </c>
      <c r="D8" s="80" t="s">
        <v>154</v>
      </c>
      <c r="E8" s="80"/>
      <c r="F8" s="80" t="s">
        <v>155</v>
      </c>
      <c r="G8" s="80"/>
      <c r="H8" s="81" t="s">
        <v>156</v>
      </c>
      <c r="I8" s="81" t="s">
        <v>157</v>
      </c>
      <c r="J8" s="80"/>
      <c r="K8" s="81" t="s">
        <v>158</v>
      </c>
      <c r="L8" s="81" t="s">
        <v>159</v>
      </c>
      <c r="M8" s="81" t="s">
        <v>210</v>
      </c>
      <c r="N8" s="101"/>
      <c r="P8"/>
      <c r="Q8"/>
      <c r="R8"/>
    </row>
    <row r="9" spans="1:18" s="22" customFormat="1" ht="12.75" customHeight="1">
      <c r="A9" s="17"/>
      <c r="B9" s="50"/>
      <c r="H9" s="23"/>
      <c r="I9" s="23"/>
      <c r="K9" s="23"/>
      <c r="L9" s="23"/>
      <c r="M9" s="23"/>
      <c r="N9" s="101"/>
      <c r="P9"/>
      <c r="Q9"/>
      <c r="R9"/>
    </row>
    <row r="10" spans="2:14" ht="12.75">
      <c r="B10" s="46" t="s">
        <v>24</v>
      </c>
      <c r="C10" s="19">
        <v>-6</v>
      </c>
      <c r="D10" s="19">
        <v>2007</v>
      </c>
      <c r="F10" s="31">
        <f>1/(1+WACCcoal)^(C10)</f>
        <v>1.571421295026444</v>
      </c>
      <c r="H10" s="30">
        <f>L59/('Ancillary Calculations'!M204*(1-Taxcoal))</f>
        <v>61.95141201223543</v>
      </c>
      <c r="I10" s="30"/>
      <c r="K10" s="30"/>
      <c r="N10" s="20"/>
    </row>
    <row r="11" spans="2:17" ht="19.5" customHeight="1">
      <c r="B11" s="46"/>
      <c r="F11" s="31"/>
      <c r="H11" s="30"/>
      <c r="I11" s="30"/>
      <c r="K11" s="30"/>
      <c r="L11" s="30"/>
      <c r="M11" s="30"/>
      <c r="N11" s="20"/>
      <c r="Q11" s="30"/>
    </row>
    <row r="12" spans="2:17" ht="12.75">
      <c r="B12" s="46" t="s">
        <v>160</v>
      </c>
      <c r="C12" s="19">
        <v>-4</v>
      </c>
      <c r="D12" s="19">
        <v>2009</v>
      </c>
      <c r="F12" s="31">
        <f aca="true" t="shared" si="0" ref="F12:F56">1/(1+WACCcoal)^(C12)</f>
        <v>1.351642242221763</v>
      </c>
      <c r="H12" s="30">
        <f>H$10*'Escalation Factors'!I10</f>
        <v>65.72425300378056</v>
      </c>
      <c r="I12" s="30"/>
      <c r="K12" s="30"/>
      <c r="L12" s="30"/>
      <c r="M12" s="30"/>
      <c r="N12" s="20"/>
      <c r="Q12" s="30"/>
    </row>
    <row r="13" spans="2:14" ht="12.75">
      <c r="B13" s="46" t="s">
        <v>161</v>
      </c>
      <c r="C13" s="19">
        <v>-3</v>
      </c>
      <c r="D13" s="19">
        <v>2010</v>
      </c>
      <c r="F13" s="31">
        <f t="shared" si="0"/>
        <v>1.253563438772224</v>
      </c>
      <c r="H13" s="30">
        <f>H$10*'Escalation Factors'!I11</f>
        <v>67.69598059389398</v>
      </c>
      <c r="I13" s="30"/>
      <c r="K13" s="30"/>
      <c r="L13" s="30">
        <f>'Table 8C LCOE Coal Valuation'!L11</f>
        <v>459.9797183719582</v>
      </c>
      <c r="M13" s="30">
        <f aca="true" t="shared" si="1" ref="M13:M56">K13-L13</f>
        <v>-459.9797183719582</v>
      </c>
      <c r="N13" s="20"/>
    </row>
    <row r="14" spans="2:14" ht="12.75">
      <c r="B14" s="46" t="s">
        <v>162</v>
      </c>
      <c r="C14" s="19">
        <v>-2</v>
      </c>
      <c r="D14" s="19">
        <v>2011</v>
      </c>
      <c r="F14" s="31">
        <f t="shared" si="0"/>
        <v>1.1626014976</v>
      </c>
      <c r="H14" s="30">
        <f>H$10*'Escalation Factors'!I12</f>
        <v>69.7268600117108</v>
      </c>
      <c r="I14" s="30"/>
      <c r="K14" s="30"/>
      <c r="L14" s="30">
        <f>'Table 8C LCOE Coal Valuation'!L12</f>
        <v>1065.3955412929606</v>
      </c>
      <c r="M14" s="30">
        <f t="shared" si="1"/>
        <v>-1065.3955412929606</v>
      </c>
      <c r="N14" s="20"/>
    </row>
    <row r="15" spans="2:14" ht="12.75">
      <c r="B15" s="46" t="s">
        <v>163</v>
      </c>
      <c r="C15" s="19">
        <v>-1</v>
      </c>
      <c r="D15" s="19">
        <v>2012</v>
      </c>
      <c r="F15" s="31">
        <f t="shared" si="0"/>
        <v>1.07824</v>
      </c>
      <c r="H15" s="30">
        <f>H$10*'Escalation Factors'!I13</f>
        <v>71.81866581206212</v>
      </c>
      <c r="I15" s="30"/>
      <c r="K15" s="30"/>
      <c r="L15" s="30">
        <f>'Table 8C LCOE Coal Valuation'!L13</f>
        <v>1017.7301969243855</v>
      </c>
      <c r="M15" s="30">
        <f t="shared" si="1"/>
        <v>-1017.7301969243855</v>
      </c>
      <c r="N15" s="20"/>
    </row>
    <row r="16" spans="2:14" ht="12.75">
      <c r="B16" s="46" t="s">
        <v>164</v>
      </c>
      <c r="C16" s="19">
        <v>0</v>
      </c>
      <c r="D16" s="19">
        <v>2013</v>
      </c>
      <c r="F16" s="31">
        <f t="shared" si="0"/>
        <v>1</v>
      </c>
      <c r="H16" s="30">
        <f>H$10*'Escalation Factors'!I14</f>
        <v>73.97322578642398</v>
      </c>
      <c r="I16" s="30"/>
      <c r="K16" s="30"/>
      <c r="L16" s="30">
        <f>'Table 8C LCOE Coal Valuation'!L14</f>
        <v>400.9627611744382</v>
      </c>
      <c r="M16" s="30">
        <f t="shared" si="1"/>
        <v>-400.9627611744382</v>
      </c>
      <c r="N16" s="20"/>
    </row>
    <row r="17" spans="2:20" ht="12.75">
      <c r="B17" s="46" t="s">
        <v>165</v>
      </c>
      <c r="C17" s="19">
        <v>1</v>
      </c>
      <c r="D17" s="19">
        <v>2014</v>
      </c>
      <c r="F17" s="31">
        <f t="shared" si="0"/>
        <v>0.9274373052381658</v>
      </c>
      <c r="H17" s="30">
        <f>H$10*'Escalation Factors'!I15</f>
        <v>76.19242256001671</v>
      </c>
      <c r="I17" s="30">
        <f aca="true" t="shared" si="2" ref="I17:I56">(1-Taxcoal)*H17*CFcoal*Ccoal*8766/1000000</f>
        <v>357.66193663427254</v>
      </c>
      <c r="K17" s="30">
        <f aca="true" t="shared" si="3" ref="K17:K56">I17*F17</f>
        <v>331.70902269835335</v>
      </c>
      <c r="L17" s="30">
        <f>'Table 8C LCOE Coal Valuation'!L15</f>
        <v>152.3441676524227</v>
      </c>
      <c r="M17" s="30">
        <f t="shared" si="1"/>
        <v>179.36485504593065</v>
      </c>
      <c r="N17" s="20"/>
      <c r="Q17" s="27"/>
      <c r="T17" s="3"/>
    </row>
    <row r="18" spans="2:20" ht="12.75">
      <c r="B18" s="46" t="s">
        <v>166</v>
      </c>
      <c r="C18" s="19">
        <v>2</v>
      </c>
      <c r="D18" s="19">
        <v>2015</v>
      </c>
      <c r="F18" s="31">
        <f t="shared" si="0"/>
        <v>0.8601399551474308</v>
      </c>
      <c r="H18" s="30">
        <f>H$10*'Escalation Factors'!I16</f>
        <v>78.4781952368172</v>
      </c>
      <c r="I18" s="30">
        <f t="shared" si="2"/>
        <v>368.3917947333006</v>
      </c>
      <c r="K18" s="30">
        <f t="shared" si="3"/>
        <v>316.8685017985827</v>
      </c>
      <c r="L18" s="30">
        <f>'Table 8C LCOE Coal Valuation'!L16</f>
        <v>118.43935324265132</v>
      </c>
      <c r="M18" s="30">
        <f t="shared" si="1"/>
        <v>198.4291485559314</v>
      </c>
      <c r="N18" s="20"/>
      <c r="T18" s="3"/>
    </row>
    <row r="19" spans="2:20" ht="12.75">
      <c r="B19" s="46" t="s">
        <v>167</v>
      </c>
      <c r="C19" s="19">
        <v>3</v>
      </c>
      <c r="D19" s="19">
        <v>2016</v>
      </c>
      <c r="F19" s="31">
        <f t="shared" si="0"/>
        <v>0.7977258821296102</v>
      </c>
      <c r="H19" s="30">
        <f>H$10*'Escalation Factors'!I17</f>
        <v>80.83254109392172</v>
      </c>
      <c r="I19" s="30">
        <f t="shared" si="2"/>
        <v>379.44354857529964</v>
      </c>
      <c r="K19" s="30">
        <f t="shared" si="3"/>
        <v>302.6919395056205</v>
      </c>
      <c r="L19" s="30">
        <f>'Table 8C LCOE Coal Valuation'!L17</f>
        <v>119.97270532189529</v>
      </c>
      <c r="M19" s="30">
        <f t="shared" si="1"/>
        <v>182.7192341837252</v>
      </c>
      <c r="N19" s="20"/>
      <c r="T19" s="3"/>
    </row>
    <row r="20" spans="2:20" ht="12.75">
      <c r="B20" s="46" t="s">
        <v>168</v>
      </c>
      <c r="C20" s="19">
        <v>4</v>
      </c>
      <c r="D20" s="19">
        <v>2017</v>
      </c>
      <c r="F20" s="31">
        <f t="shared" si="0"/>
        <v>0.7398407424410243</v>
      </c>
      <c r="H20" s="30">
        <f>H$10*'Escalation Factors'!I18</f>
        <v>83.25751732673938</v>
      </c>
      <c r="I20" s="30">
        <f t="shared" si="2"/>
        <v>390.8268550325587</v>
      </c>
      <c r="K20" s="30">
        <f t="shared" si="3"/>
        <v>289.14963059317876</v>
      </c>
      <c r="L20" s="30">
        <f>'Table 8C LCOE Coal Valuation'!L18</f>
        <v>120.55516849514609</v>
      </c>
      <c r="M20" s="30">
        <f t="shared" si="1"/>
        <v>168.59446209803266</v>
      </c>
      <c r="N20" s="20"/>
      <c r="T20" s="3"/>
    </row>
    <row r="21" spans="2:20" ht="12.75">
      <c r="B21" s="46" t="s">
        <v>169</v>
      </c>
      <c r="C21" s="19">
        <v>5</v>
      </c>
      <c r="D21" s="19">
        <v>2018</v>
      </c>
      <c r="F21" s="31">
        <f t="shared" si="0"/>
        <v>0.6861559044749075</v>
      </c>
      <c r="H21" s="30">
        <f>H$10*'Escalation Factors'!I19</f>
        <v>85.75524284654156</v>
      </c>
      <c r="I21" s="30">
        <f t="shared" si="2"/>
        <v>402.55166068353543</v>
      </c>
      <c r="K21" s="30">
        <f t="shared" si="3"/>
        <v>276.2131988341873</v>
      </c>
      <c r="L21" s="30">
        <f>'Table 8C LCOE Coal Valuation'!L19</f>
        <v>120.37092242996896</v>
      </c>
      <c r="M21" s="30">
        <f t="shared" si="1"/>
        <v>155.84227640421835</v>
      </c>
      <c r="N21" s="20"/>
      <c r="T21" s="3"/>
    </row>
    <row r="22" spans="2:20" ht="12.75">
      <c r="B22" t="s">
        <v>170</v>
      </c>
      <c r="C22" s="19">
        <v>6</v>
      </c>
      <c r="D22" s="19">
        <v>2019</v>
      </c>
      <c r="F22" s="31">
        <f t="shared" si="0"/>
        <v>0.6363665830194646</v>
      </c>
      <c r="H22" s="30">
        <f>H$10*'Escalation Factors'!I20</f>
        <v>88.3279001319378</v>
      </c>
      <c r="I22" s="30">
        <f t="shared" si="2"/>
        <v>414.6282105040414</v>
      </c>
      <c r="K22" s="30">
        <f t="shared" si="3"/>
        <v>263.8555375419321</v>
      </c>
      <c r="L22" s="30">
        <f>'Table 8C LCOE Coal Valuation'!L20</f>
        <v>119.53819643040859</v>
      </c>
      <c r="M22" s="30">
        <f t="shared" si="1"/>
        <v>144.31734111152352</v>
      </c>
      <c r="N22" s="20"/>
      <c r="T22" s="3"/>
    </row>
    <row r="23" spans="2:14" ht="12.75">
      <c r="B23" t="s">
        <v>171</v>
      </c>
      <c r="C23" s="19">
        <v>7</v>
      </c>
      <c r="D23" s="19">
        <v>2020</v>
      </c>
      <c r="F23" s="31">
        <f t="shared" si="0"/>
        <v>0.5901901088991919</v>
      </c>
      <c r="H23" s="30">
        <f>H$10*'Escalation Factors'!I21</f>
        <v>90.97773713589592</v>
      </c>
      <c r="I23" s="30">
        <f t="shared" si="2"/>
        <v>427.0670568191627</v>
      </c>
      <c r="K23" s="30">
        <f t="shared" si="3"/>
        <v>252.050752771359</v>
      </c>
      <c r="L23" s="30">
        <f>'Table 8C LCOE Coal Valuation'!L21</f>
        <v>118.18981982511748</v>
      </c>
      <c r="M23" s="30">
        <f t="shared" si="1"/>
        <v>133.86093294624152</v>
      </c>
      <c r="N23" s="20"/>
    </row>
    <row r="24" spans="2:14" ht="12.75">
      <c r="B24" t="s">
        <v>174</v>
      </c>
      <c r="C24" s="19">
        <v>8</v>
      </c>
      <c r="D24" s="19">
        <v>2021</v>
      </c>
      <c r="F24" s="31">
        <f t="shared" si="0"/>
        <v>0.547364324175686</v>
      </c>
      <c r="H24" s="30">
        <f>H$10*'Escalation Factors'!I22</f>
        <v>93.7070692499728</v>
      </c>
      <c r="I24" s="30">
        <f t="shared" si="2"/>
        <v>439.87906852373754</v>
      </c>
      <c r="K24" s="30">
        <f t="shared" si="3"/>
        <v>240.77410906152588</v>
      </c>
      <c r="L24" s="30">
        <f>'Table 8C LCOE Coal Valuation'!L22</f>
        <v>116.41108727461831</v>
      </c>
      <c r="M24" s="30">
        <f t="shared" si="1"/>
        <v>124.36302178690757</v>
      </c>
      <c r="N24" s="20"/>
    </row>
    <row r="25" spans="2:14" ht="12.75">
      <c r="B25" t="s">
        <v>174</v>
      </c>
      <c r="C25" s="19">
        <v>9</v>
      </c>
      <c r="D25" s="19">
        <v>2022</v>
      </c>
      <c r="F25" s="31">
        <f t="shared" si="0"/>
        <v>0.5076460937970081</v>
      </c>
      <c r="H25" s="30">
        <f>H$10*'Escalation Factors'!I23</f>
        <v>96.518281327472</v>
      </c>
      <c r="I25" s="30">
        <f t="shared" si="2"/>
        <v>453.0754405794498</v>
      </c>
      <c r="K25" s="30">
        <f t="shared" si="3"/>
        <v>230.00197760551612</v>
      </c>
      <c r="L25" s="30">
        <f>'Table 8C LCOE Coal Valuation'!L23</f>
        <v>112.9194323131395</v>
      </c>
      <c r="M25" s="30">
        <f t="shared" si="1"/>
        <v>117.08254529237662</v>
      </c>
      <c r="N25" s="20"/>
    </row>
    <row r="26" spans="2:14" ht="12.75">
      <c r="B26" t="s">
        <v>124</v>
      </c>
      <c r="C26" s="19">
        <v>10</v>
      </c>
      <c r="D26" s="19">
        <v>2023</v>
      </c>
      <c r="F26" s="31">
        <f t="shared" si="0"/>
        <v>0.4708099252457784</v>
      </c>
      <c r="H26" s="30">
        <f>H$10*'Escalation Factors'!I24</f>
        <v>99.41382976729614</v>
      </c>
      <c r="I26" s="30">
        <f t="shared" si="2"/>
        <v>466.66770379683317</v>
      </c>
      <c r="K26" s="30">
        <f t="shared" si="3"/>
        <v>219.71178673920608</v>
      </c>
      <c r="L26" s="30">
        <f>'Table 8C LCOE Coal Valuation'!L24</f>
        <v>109.20694191506733</v>
      </c>
      <c r="M26" s="30">
        <f t="shared" si="1"/>
        <v>110.50484482413874</v>
      </c>
      <c r="N26" s="20"/>
    </row>
    <row r="27" spans="2:14" ht="12.75">
      <c r="B27" t="s">
        <v>221</v>
      </c>
      <c r="C27" s="19">
        <v>11</v>
      </c>
      <c r="D27" s="19">
        <v>2024</v>
      </c>
      <c r="F27" s="31">
        <f t="shared" si="0"/>
        <v>0.436646688349327</v>
      </c>
      <c r="H27" s="30">
        <f>H$10*'Escalation Factors'!I25</f>
        <v>102.39624466031502</v>
      </c>
      <c r="I27" s="30">
        <f t="shared" si="2"/>
        <v>480.66773491073815</v>
      </c>
      <c r="K27" s="30">
        <f t="shared" si="3"/>
        <v>209.88197464514602</v>
      </c>
      <c r="L27" s="30">
        <f>'Table 8C LCOE Coal Valuation'!L25</f>
        <v>105.57961343469643</v>
      </c>
      <c r="M27" s="30">
        <f t="shared" si="1"/>
        <v>104.30236121044959</v>
      </c>
      <c r="N27" s="20"/>
    </row>
    <row r="28" spans="2:14" ht="12.75">
      <c r="B28" t="s">
        <v>251</v>
      </c>
      <c r="C28" s="19">
        <v>12</v>
      </c>
      <c r="D28" s="19">
        <v>2025</v>
      </c>
      <c r="F28" s="31">
        <f t="shared" si="0"/>
        <v>0.40496242798386906</v>
      </c>
      <c r="H28" s="30">
        <f>H$10*'Escalation Factors'!I26</f>
        <v>105.46813200012447</v>
      </c>
      <c r="I28" s="30">
        <f t="shared" si="2"/>
        <v>495.08776695806034</v>
      </c>
      <c r="K28" s="30">
        <f t="shared" si="3"/>
        <v>200.49194417244806</v>
      </c>
      <c r="L28" s="30">
        <f>'Table 8C LCOE Coal Valuation'!L26</f>
        <v>102.05517887634325</v>
      </c>
      <c r="M28" s="30">
        <f t="shared" si="1"/>
        <v>98.43676529610481</v>
      </c>
      <c r="N28" s="20"/>
    </row>
    <row r="29" spans="2:14" ht="12.75">
      <c r="B29" t="s">
        <v>252</v>
      </c>
      <c r="C29" s="19">
        <v>13</v>
      </c>
      <c r="D29" s="19">
        <v>2026</v>
      </c>
      <c r="F29" s="31">
        <f t="shared" si="0"/>
        <v>0.3755772629320644</v>
      </c>
      <c r="H29" s="30">
        <f>H$10*'Escalation Factors'!I27</f>
        <v>108.63217596012821</v>
      </c>
      <c r="I29" s="30">
        <f t="shared" si="2"/>
        <v>509.94039996680215</v>
      </c>
      <c r="K29" s="30">
        <f t="shared" si="3"/>
        <v>191.52201967801372</v>
      </c>
      <c r="L29" s="30">
        <f>'Table 8C LCOE Coal Valuation'!L27</f>
        <v>98.61702820643139</v>
      </c>
      <c r="M29" s="30">
        <f t="shared" si="1"/>
        <v>92.90499147158233</v>
      </c>
      <c r="N29" s="20"/>
    </row>
    <row r="30" spans="2:14" ht="12.75">
      <c r="B30" t="s">
        <v>256</v>
      </c>
      <c r="C30" s="19">
        <v>14</v>
      </c>
      <c r="D30" s="19">
        <v>2027</v>
      </c>
      <c r="F30" s="31">
        <f t="shared" si="0"/>
        <v>0.3483243646424399</v>
      </c>
      <c r="H30" s="30">
        <f>H$10*'Escalation Factors'!I28</f>
        <v>111.89114123893205</v>
      </c>
      <c r="I30" s="30">
        <f t="shared" si="2"/>
        <v>525.2386119658061</v>
      </c>
      <c r="K30" s="30">
        <f t="shared" si="3"/>
        <v>182.9534057986664</v>
      </c>
      <c r="L30" s="30">
        <f>'Table 8C LCOE Coal Valuation'!L28</f>
        <v>95.27989829565298</v>
      </c>
      <c r="M30" s="30">
        <f t="shared" si="1"/>
        <v>87.67350750301343</v>
      </c>
      <c r="N30" s="20"/>
    </row>
    <row r="31" spans="2:14" ht="12.75">
      <c r="B31" t="s">
        <v>257</v>
      </c>
      <c r="C31" s="19">
        <v>15</v>
      </c>
      <c r="D31" s="19">
        <v>2028</v>
      </c>
      <c r="F31" s="31">
        <f t="shared" si="0"/>
        <v>0.3230490100927807</v>
      </c>
      <c r="H31" s="30">
        <f>H$10*'Escalation Factors'!I29</f>
        <v>115.24787547609999</v>
      </c>
      <c r="I31" s="30">
        <f t="shared" si="2"/>
        <v>540.9957703247802</v>
      </c>
      <c r="K31" s="30">
        <f t="shared" si="3"/>
        <v>174.76814806780158</v>
      </c>
      <c r="L31" s="30">
        <f>'Table 8C LCOE Coal Valuation'!L29</f>
        <v>92.02900750508898</v>
      </c>
      <c r="M31" s="30">
        <f t="shared" si="1"/>
        <v>82.73914056271259</v>
      </c>
      <c r="N31" s="20"/>
    </row>
    <row r="32" spans="2:14" ht="12.75">
      <c r="B32" t="s">
        <v>258</v>
      </c>
      <c r="C32" s="19">
        <v>16</v>
      </c>
      <c r="D32" s="19">
        <v>2029</v>
      </c>
      <c r="F32" s="31">
        <f t="shared" si="0"/>
        <v>0.29960770338030557</v>
      </c>
      <c r="H32" s="30">
        <f>H$10*'Escalation Factors'!I30</f>
        <v>118.70531174038301</v>
      </c>
      <c r="I32" s="30">
        <f t="shared" si="2"/>
        <v>557.2256434345237</v>
      </c>
      <c r="K32" s="30">
        <f t="shared" si="3"/>
        <v>166.94909529403068</v>
      </c>
      <c r="L32" s="30">
        <f>'Table 8C LCOE Coal Valuation'!L30</f>
        <v>88.87655655474725</v>
      </c>
      <c r="M32" s="30">
        <f t="shared" si="1"/>
        <v>78.07253873928343</v>
      </c>
      <c r="N32" s="20"/>
    </row>
    <row r="33" spans="2:14" ht="12.75">
      <c r="B33" t="s">
        <v>226</v>
      </c>
      <c r="C33" s="19">
        <v>17</v>
      </c>
      <c r="D33" s="19">
        <v>2030</v>
      </c>
      <c r="F33" s="31">
        <f t="shared" si="0"/>
        <v>0.2778673610516263</v>
      </c>
      <c r="H33" s="30">
        <f>H$10*'Escalation Factors'!I31</f>
        <v>122.26647109259451</v>
      </c>
      <c r="I33" s="30">
        <f t="shared" si="2"/>
        <v>573.9424127375595</v>
      </c>
      <c r="K33" s="30">
        <f t="shared" si="3"/>
        <v>159.47986362298897</v>
      </c>
      <c r="L33" s="30">
        <f>'Table 8C LCOE Coal Valuation'!L31</f>
        <v>85.8093749666074</v>
      </c>
      <c r="M33" s="30">
        <f t="shared" si="1"/>
        <v>73.67048865638158</v>
      </c>
      <c r="N33" s="20"/>
    </row>
    <row r="34" spans="2:14" ht="12.75">
      <c r="B34" t="s">
        <v>227</v>
      </c>
      <c r="C34" s="19">
        <v>18</v>
      </c>
      <c r="D34" s="19">
        <v>2031</v>
      </c>
      <c r="F34" s="31">
        <f t="shared" si="0"/>
        <v>0.2577045565473608</v>
      </c>
      <c r="H34" s="30">
        <f>H$10*'Escalation Factors'!I32</f>
        <v>125.93446522537232</v>
      </c>
      <c r="I34" s="30">
        <f t="shared" si="2"/>
        <v>591.160685119686</v>
      </c>
      <c r="K34" s="30">
        <f t="shared" si="3"/>
        <v>152.3448022070027</v>
      </c>
      <c r="L34" s="30">
        <f>'Table 8C LCOE Coal Valuation'!L32</f>
        <v>82.83751896788382</v>
      </c>
      <c r="M34" s="30">
        <f t="shared" si="1"/>
        <v>69.50728323911886</v>
      </c>
      <c r="N34" s="20"/>
    </row>
    <row r="35" spans="2:14" ht="12.75">
      <c r="B35" t="s">
        <v>228</v>
      </c>
      <c r="C35" s="19">
        <v>19</v>
      </c>
      <c r="D35" s="19">
        <v>2032</v>
      </c>
      <c r="F35" s="31">
        <f t="shared" si="0"/>
        <v>0.23900481947188085</v>
      </c>
      <c r="H35" s="30">
        <f>H$10*'Escalation Factors'!I33</f>
        <v>129.71249918213348</v>
      </c>
      <c r="I35" s="30">
        <f t="shared" si="2"/>
        <v>608.8955056732767</v>
      </c>
      <c r="K35" s="30">
        <f t="shared" si="3"/>
        <v>145.5289604106811</v>
      </c>
      <c r="L35" s="30">
        <f>'Table 8C LCOE Coal Valuation'!L33</f>
        <v>79.9492393836923</v>
      </c>
      <c r="M35" s="30">
        <f t="shared" si="1"/>
        <v>65.57972102698879</v>
      </c>
      <c r="N35" s="20"/>
    </row>
    <row r="36" spans="2:14" ht="12.75">
      <c r="B36" t="s">
        <v>229</v>
      </c>
      <c r="C36" s="19">
        <v>20</v>
      </c>
      <c r="D36" s="19">
        <v>2033</v>
      </c>
      <c r="F36" s="31">
        <f t="shared" si="0"/>
        <v>0.22166198570993542</v>
      </c>
      <c r="H36" s="30">
        <f>H$10*'Escalation Factors'!I34</f>
        <v>133.60387415759752</v>
      </c>
      <c r="I36" s="30">
        <f t="shared" si="2"/>
        <v>627.1623708434751</v>
      </c>
      <c r="K36" s="30">
        <f t="shared" si="3"/>
        <v>139.01805648371558</v>
      </c>
      <c r="L36" s="30">
        <f>'Table 8C LCOE Coal Valuation'!L34</f>
        <v>77.15278194303701</v>
      </c>
      <c r="M36" s="30">
        <f t="shared" si="1"/>
        <v>61.86527454067857</v>
      </c>
      <c r="N36" s="20"/>
    </row>
    <row r="37" spans="2:14" ht="12.75">
      <c r="B37" t="s">
        <v>230</v>
      </c>
      <c r="C37" s="19">
        <v>21</v>
      </c>
      <c r="D37" s="19">
        <v>2034</v>
      </c>
      <c r="F37" s="31">
        <f t="shared" si="0"/>
        <v>0.2055775947005634</v>
      </c>
      <c r="H37" s="30">
        <f>H$10*'Escalation Factors'!I35</f>
        <v>137.61199038232542</v>
      </c>
      <c r="I37" s="30">
        <f t="shared" si="2"/>
        <v>645.9772419687793</v>
      </c>
      <c r="K37" s="30">
        <f t="shared" si="3"/>
        <v>132.79844763524548</v>
      </c>
      <c r="L37" s="30">
        <f>'Table 8C LCOE Coal Valuation'!L35</f>
        <v>78.89760943767668</v>
      </c>
      <c r="M37" s="30">
        <f t="shared" si="1"/>
        <v>53.9008381975688</v>
      </c>
      <c r="N37" s="20"/>
    </row>
    <row r="38" spans="2:14" ht="12.75">
      <c r="B38" t="s">
        <v>231</v>
      </c>
      <c r="C38" s="19">
        <v>22</v>
      </c>
      <c r="D38" s="19">
        <v>2035</v>
      </c>
      <c r="F38" s="31">
        <f t="shared" si="0"/>
        <v>0.19066033044643432</v>
      </c>
      <c r="H38" s="30">
        <f>H$10*'Escalation Factors'!I36</f>
        <v>141.7403500937952</v>
      </c>
      <c r="I38" s="30">
        <f t="shared" si="2"/>
        <v>665.3565592278428</v>
      </c>
      <c r="K38" s="30">
        <f t="shared" si="3"/>
        <v>126.85710144708305</v>
      </c>
      <c r="L38" s="30">
        <f>'Table 8C LCOE Coal Valuation'!L36</f>
        <v>80.0813779983671</v>
      </c>
      <c r="M38" s="30">
        <f t="shared" si="1"/>
        <v>46.77572344871595</v>
      </c>
      <c r="N38" s="20"/>
    </row>
    <row r="39" spans="2:14" ht="12.75">
      <c r="B39" t="s">
        <v>232</v>
      </c>
      <c r="C39" s="19">
        <v>23</v>
      </c>
      <c r="D39" s="19">
        <v>2036</v>
      </c>
      <c r="F39" s="31">
        <f t="shared" si="0"/>
        <v>0.17682550308505932</v>
      </c>
      <c r="H39" s="30">
        <f>H$10*'Escalation Factors'!I37</f>
        <v>145.99256059660902</v>
      </c>
      <c r="I39" s="30">
        <f t="shared" si="2"/>
        <v>685.3172560046779</v>
      </c>
      <c r="K39" s="30">
        <f t="shared" si="3"/>
        <v>121.18156856589955</v>
      </c>
      <c r="L39" s="30">
        <f>'Table 8C LCOE Coal Valuation'!L37</f>
        <v>76.93452822118036</v>
      </c>
      <c r="M39" s="30">
        <f t="shared" si="1"/>
        <v>44.247040344719196</v>
      </c>
      <c r="N39" s="20"/>
    </row>
    <row r="40" spans="2:14" ht="12.75">
      <c r="B40" t="s">
        <v>233</v>
      </c>
      <c r="C40" s="19">
        <v>24</v>
      </c>
      <c r="D40" s="19">
        <v>2037</v>
      </c>
      <c r="F40" s="31">
        <f t="shared" si="0"/>
        <v>0.16399456807859036</v>
      </c>
      <c r="H40" s="30">
        <f>H$10*'Escalation Factors'!I38</f>
        <v>150.3723374145073</v>
      </c>
      <c r="I40" s="30">
        <f t="shared" si="2"/>
        <v>705.8767736848183</v>
      </c>
      <c r="K40" s="30">
        <f t="shared" si="3"/>
        <v>115.75995661715066</v>
      </c>
      <c r="L40" s="30">
        <f>'Table 8C LCOE Coal Valuation'!L38</f>
        <v>73.91188837888733</v>
      </c>
      <c r="M40" s="30">
        <f t="shared" si="1"/>
        <v>41.84806823826334</v>
      </c>
      <c r="N40" s="20"/>
    </row>
    <row r="41" spans="2:14" ht="12.75">
      <c r="B41" t="s">
        <v>234</v>
      </c>
      <c r="C41" s="19">
        <v>25</v>
      </c>
      <c r="D41" s="19">
        <v>2038</v>
      </c>
      <c r="F41" s="31">
        <f t="shared" si="0"/>
        <v>0.15209468029250478</v>
      </c>
      <c r="H41" s="30">
        <f>H$10*'Escalation Factors'!I39</f>
        <v>154.88350753694255</v>
      </c>
      <c r="I41" s="30">
        <f t="shared" si="2"/>
        <v>727.053076895363</v>
      </c>
      <c r="K41" s="30">
        <f t="shared" si="3"/>
        <v>110.58090528608213</v>
      </c>
      <c r="L41" s="30">
        <f>'Table 8C LCOE Coal Valuation'!L39</f>
        <v>71.00853423474159</v>
      </c>
      <c r="M41" s="30">
        <f t="shared" si="1"/>
        <v>39.57237105134054</v>
      </c>
      <c r="N41" s="20"/>
    </row>
    <row r="42" spans="2:14" ht="12.75">
      <c r="B42" t="s">
        <v>235</v>
      </c>
      <c r="C42" s="19">
        <v>26</v>
      </c>
      <c r="D42" s="19">
        <v>2039</v>
      </c>
      <c r="F42" s="31">
        <f t="shared" si="0"/>
        <v>0.141058280431541</v>
      </c>
      <c r="H42" s="30">
        <f>H$10*'Escalation Factors'!I40</f>
        <v>159.5300127630508</v>
      </c>
      <c r="I42" s="30">
        <f t="shared" si="2"/>
        <v>748.8646692022237</v>
      </c>
      <c r="K42" s="30">
        <f t="shared" si="3"/>
        <v>105.63356251360045</v>
      </c>
      <c r="L42" s="30">
        <f>'Table 8C LCOE Coal Valuation'!L40</f>
        <v>68.21973761331728</v>
      </c>
      <c r="M42" s="30">
        <f t="shared" si="1"/>
        <v>37.413824900283174</v>
      </c>
      <c r="N42" s="20"/>
    </row>
    <row r="43" spans="2:14" ht="12.75">
      <c r="B43" t="s">
        <v>236</v>
      </c>
      <c r="C43" s="19">
        <v>27</v>
      </c>
      <c r="D43" s="19">
        <v>2040</v>
      </c>
      <c r="F43" s="31">
        <f t="shared" si="0"/>
        <v>0.1308227114849579</v>
      </c>
      <c r="H43" s="30">
        <f>H$10*'Escalation Factors'!I41</f>
        <v>164.31591314594232</v>
      </c>
      <c r="I43" s="30">
        <f t="shared" si="2"/>
        <v>771.3306092782902</v>
      </c>
      <c r="K43" s="30">
        <f t="shared" si="3"/>
        <v>100.90756175713055</v>
      </c>
      <c r="L43" s="30">
        <f>'Table 8C LCOE Coal Valuation'!L41</f>
        <v>65.54095856104892</v>
      </c>
      <c r="M43" s="30">
        <f t="shared" si="1"/>
        <v>35.36660319608163</v>
      </c>
      <c r="N43" s="20"/>
    </row>
    <row r="44" spans="2:14" ht="12.75">
      <c r="B44" t="s">
        <v>237</v>
      </c>
      <c r="C44" s="19">
        <v>28</v>
      </c>
      <c r="D44" s="19">
        <v>2041</v>
      </c>
      <c r="F44" s="31">
        <f t="shared" si="0"/>
        <v>0.12132986300355939</v>
      </c>
      <c r="H44" s="30">
        <f>H$10*'Escalation Factors'!I42</f>
        <v>169.24539054032056</v>
      </c>
      <c r="I44" s="30">
        <f t="shared" si="2"/>
        <v>794.4705275566388</v>
      </c>
      <c r="K44" s="30">
        <f t="shared" si="3"/>
        <v>96.39300026881253</v>
      </c>
      <c r="L44" s="30">
        <f>'Table 8C LCOE Coal Valuation'!L42</f>
        <v>62.96783782154308</v>
      </c>
      <c r="M44" s="30">
        <f t="shared" si="1"/>
        <v>33.42516244726945</v>
      </c>
      <c r="N44" s="20"/>
    </row>
    <row r="45" spans="2:14" ht="12.75">
      <c r="B45" t="s">
        <v>238</v>
      </c>
      <c r="C45" s="19">
        <v>29</v>
      </c>
      <c r="D45" s="19">
        <v>2042</v>
      </c>
      <c r="F45" s="31">
        <f t="shared" si="0"/>
        <v>0.11252584118893696</v>
      </c>
      <c r="H45" s="30">
        <f>H$10*'Escalation Factors'!I43</f>
        <v>174.3227522565302</v>
      </c>
      <c r="I45" s="30">
        <f t="shared" si="2"/>
        <v>818.3046433833383</v>
      </c>
      <c r="K45" s="30">
        <f t="shared" si="3"/>
        <v>92.08041834552323</v>
      </c>
      <c r="L45" s="30">
        <f>'Table 8C LCOE Coal Valuation'!L43</f>
        <v>60.496189612970625</v>
      </c>
      <c r="M45" s="30">
        <f t="shared" si="1"/>
        <v>31.584228732552603</v>
      </c>
      <c r="N45" s="20"/>
    </row>
    <row r="46" spans="2:14" ht="12.75">
      <c r="B46" t="s">
        <v>239</v>
      </c>
      <c r="C46" s="19">
        <v>30</v>
      </c>
      <c r="D46" s="19">
        <v>2043</v>
      </c>
      <c r="F46" s="31">
        <f t="shared" si="0"/>
        <v>0.10436066292192551</v>
      </c>
      <c r="H46" s="30">
        <f>H$10*'Escalation Factors'!I44</f>
        <v>179.5524348242261</v>
      </c>
      <c r="I46" s="30">
        <f t="shared" si="2"/>
        <v>842.8537826848383</v>
      </c>
      <c r="K46" s="30">
        <f t="shared" si="3"/>
        <v>87.96077950724226</v>
      </c>
      <c r="L46" s="30">
        <f>'Table 8C LCOE Coal Valuation'!L44</f>
        <v>58.12199469536245</v>
      </c>
      <c r="M46" s="30">
        <f t="shared" si="1"/>
        <v>29.838784811879812</v>
      </c>
      <c r="N46" s="20"/>
    </row>
    <row r="47" spans="2:14" ht="12.75">
      <c r="B47" t="s">
        <v>240</v>
      </c>
      <c r="C47" s="19">
        <v>31</v>
      </c>
      <c r="D47" s="19">
        <v>2044</v>
      </c>
      <c r="F47" s="31">
        <f t="shared" si="0"/>
        <v>0.09678797199317918</v>
      </c>
      <c r="H47" s="30">
        <f>H$10*'Escalation Factors'!I45</f>
        <v>184.93900786895287</v>
      </c>
      <c r="I47" s="30">
        <f t="shared" si="2"/>
        <v>868.1393961653835</v>
      </c>
      <c r="K47" s="30">
        <f t="shared" si="3"/>
        <v>84.02545156223061</v>
      </c>
      <c r="L47" s="30">
        <f>'Table 8C LCOE Coal Valuation'!L45</f>
        <v>55.841393716124124</v>
      </c>
      <c r="M47" s="30">
        <f t="shared" si="1"/>
        <v>28.18405784610649</v>
      </c>
      <c r="N47" s="20"/>
    </row>
    <row r="48" spans="2:14" ht="12.75">
      <c r="B48" t="s">
        <v>241</v>
      </c>
      <c r="C48" s="19">
        <v>32</v>
      </c>
      <c r="D48" s="19">
        <v>2045</v>
      </c>
      <c r="F48" s="31">
        <f t="shared" si="0"/>
        <v>0.08976477592482116</v>
      </c>
      <c r="H48" s="30">
        <f>H$10*'Escalation Factors'!I46</f>
        <v>190.48717810502146</v>
      </c>
      <c r="I48" s="30">
        <f t="shared" si="2"/>
        <v>894.1835780503451</v>
      </c>
      <c r="K48" s="30">
        <f t="shared" si="3"/>
        <v>80.26618851934406</v>
      </c>
      <c r="L48" s="30">
        <f>'Table 8C LCOE Coal Valuation'!L46</f>
        <v>53.6506808225581</v>
      </c>
      <c r="M48" s="30">
        <f t="shared" si="1"/>
        <v>26.615507696785954</v>
      </c>
      <c r="N48" s="20"/>
    </row>
    <row r="49" spans="2:14" ht="12.75">
      <c r="B49" t="s">
        <v>242</v>
      </c>
      <c r="C49" s="19">
        <v>33</v>
      </c>
      <c r="D49" s="19">
        <v>2046</v>
      </c>
      <c r="F49" s="31">
        <f t="shared" si="0"/>
        <v>0.08325120188902391</v>
      </c>
      <c r="H49" s="30">
        <f>H$10*'Escalation Factors'!I47</f>
        <v>196.2017934481721</v>
      </c>
      <c r="I49" s="30">
        <f t="shared" si="2"/>
        <v>921.0090853918554</v>
      </c>
      <c r="K49" s="30">
        <f t="shared" si="3"/>
        <v>76.67511330958261</v>
      </c>
      <c r="L49" s="30">
        <f>'Table 8C LCOE Coal Valuation'!L47</f>
        <v>51.546297530635265</v>
      </c>
      <c r="M49" s="30">
        <f t="shared" si="1"/>
        <v>25.12881577894735</v>
      </c>
      <c r="N49" s="20"/>
    </row>
    <row r="50" spans="2:14" ht="12.75">
      <c r="B50" t="s">
        <v>243</v>
      </c>
      <c r="C50" s="19">
        <v>34</v>
      </c>
      <c r="D50" s="19">
        <v>2047</v>
      </c>
      <c r="F50" s="31">
        <f t="shared" si="0"/>
        <v>0.07721027033779485</v>
      </c>
      <c r="H50" s="30">
        <f>H$10*'Escalation Factors'!I48</f>
        <v>202.08784725161723</v>
      </c>
      <c r="I50" s="30">
        <f t="shared" si="2"/>
        <v>948.6393579536109</v>
      </c>
      <c r="K50" s="30">
        <f t="shared" si="3"/>
        <v>73.24470128067043</v>
      </c>
      <c r="L50" s="30">
        <f>'Table 8C LCOE Coal Valuation'!L48</f>
        <v>49.52482683969354</v>
      </c>
      <c r="M50" s="30">
        <f t="shared" si="1"/>
        <v>23.719874440976888</v>
      </c>
      <c r="N50" s="20"/>
    </row>
    <row r="51" spans="2:14" ht="12.75">
      <c r="B51" t="s">
        <v>244</v>
      </c>
      <c r="C51" s="19">
        <v>35</v>
      </c>
      <c r="D51" s="19">
        <v>2048</v>
      </c>
      <c r="F51" s="31">
        <f t="shared" si="0"/>
        <v>0.07160768505879475</v>
      </c>
      <c r="H51" s="30">
        <f>H$10*'Escalation Factors'!I49</f>
        <v>208.15048266916577</v>
      </c>
      <c r="I51" s="30">
        <f t="shared" si="2"/>
        <v>977.0985386922192</v>
      </c>
      <c r="K51" s="30">
        <f t="shared" si="3"/>
        <v>69.967764430081</v>
      </c>
      <c r="L51" s="30">
        <f>'Table 8C LCOE Coal Valuation'!L49</f>
        <v>47.582987583158165</v>
      </c>
      <c r="M51" s="30">
        <f t="shared" si="1"/>
        <v>22.38477684692284</v>
      </c>
      <c r="N51" s="20"/>
    </row>
    <row r="52" spans="2:14" ht="12.75">
      <c r="B52" t="s">
        <v>245</v>
      </c>
      <c r="C52" s="19">
        <v>36</v>
      </c>
      <c r="D52" s="19">
        <v>2049</v>
      </c>
      <c r="F52" s="31">
        <f t="shared" si="0"/>
        <v>0.06641163846527186</v>
      </c>
      <c r="H52" s="30">
        <f>H$10*'Escalation Factors'!I50</f>
        <v>214.39499714924077</v>
      </c>
      <c r="I52" s="30">
        <f t="shared" si="2"/>
        <v>1006.4114948529859</v>
      </c>
      <c r="K52" s="30">
        <f t="shared" si="3"/>
        <v>66.83743634347032</v>
      </c>
      <c r="L52" s="30">
        <f>'Table 8C LCOE Coal Valuation'!L50</f>
        <v>45.717629005779045</v>
      </c>
      <c r="M52" s="30">
        <f t="shared" si="1"/>
        <v>21.11980733769127</v>
      </c>
      <c r="N52" s="20"/>
    </row>
    <row r="53" spans="2:14" ht="12.75">
      <c r="B53" t="s">
        <v>246</v>
      </c>
      <c r="C53" s="19">
        <v>37</v>
      </c>
      <c r="D53" s="19">
        <v>2050</v>
      </c>
      <c r="F53" s="31">
        <f t="shared" si="0"/>
        <v>0.06159263101468307</v>
      </c>
      <c r="H53" s="30">
        <f>H$10*'Escalation Factors'!I51</f>
        <v>220.826847063718</v>
      </c>
      <c r="I53" s="30">
        <f t="shared" si="2"/>
        <v>1036.6038396985757</v>
      </c>
      <c r="K53" s="30">
        <f t="shared" si="3"/>
        <v>63.84715780695805</v>
      </c>
      <c r="L53" s="30">
        <f>'Table 8C LCOE Coal Valuation'!L51</f>
        <v>43.92572555826524</v>
      </c>
      <c r="M53" s="30">
        <f t="shared" si="1"/>
        <v>19.92143224869281</v>
      </c>
      <c r="N53" s="20"/>
    </row>
    <row r="54" spans="2:14" ht="12.75">
      <c r="B54" t="s">
        <v>247</v>
      </c>
      <c r="C54" s="19">
        <v>38</v>
      </c>
      <c r="D54" s="19">
        <v>2051</v>
      </c>
      <c r="F54" s="31">
        <f t="shared" si="0"/>
        <v>0.05712330373078633</v>
      </c>
      <c r="H54" s="30">
        <f>H$10*'Escalation Factors'!I52</f>
        <v>227.4516524756295</v>
      </c>
      <c r="I54" s="30">
        <f t="shared" si="2"/>
        <v>1067.7019548895328</v>
      </c>
      <c r="K54" s="30">
        <f t="shared" si="3"/>
        <v>60.9906630631091</v>
      </c>
      <c r="L54" s="30">
        <f>'Table 8C LCOE Coal Valuation'!L52</f>
        <v>42.20437190056471</v>
      </c>
      <c r="M54" s="30">
        <f t="shared" si="1"/>
        <v>18.786291162544394</v>
      </c>
      <c r="N54" s="20"/>
    </row>
    <row r="55" spans="2:14" ht="12.75">
      <c r="B55" t="s">
        <v>248</v>
      </c>
      <c r="C55" s="19">
        <v>39</v>
      </c>
      <c r="D55" s="19">
        <v>2052</v>
      </c>
      <c r="F55" s="31">
        <f t="shared" si="0"/>
        <v>0.052978282878381744</v>
      </c>
      <c r="H55" s="30">
        <f>H$10*'Escalation Factors'!I53</f>
        <v>234.27520204989838</v>
      </c>
      <c r="I55" s="30">
        <f t="shared" si="2"/>
        <v>1099.7330135362186</v>
      </c>
      <c r="K55" s="30">
        <f t="shared" si="3"/>
        <v>58.26196668181701</v>
      </c>
      <c r="L55" s="30">
        <f>'Table 8C LCOE Coal Valuation'!L53</f>
        <v>40.5507781053917</v>
      </c>
      <c r="M55" s="30">
        <f t="shared" si="1"/>
        <v>17.711188576425307</v>
      </c>
      <c r="N55" s="20"/>
    </row>
    <row r="56" spans="2:14" ht="12.75">
      <c r="B56" t="s">
        <v>249</v>
      </c>
      <c r="C56" s="19">
        <v>40</v>
      </c>
      <c r="D56" s="19">
        <v>2053</v>
      </c>
      <c r="F56" s="31">
        <f t="shared" si="0"/>
        <v>0.04913403590887162</v>
      </c>
      <c r="H56" s="30">
        <f>H$10*'Escalation Factors'!I54</f>
        <v>241.30345811139534</v>
      </c>
      <c r="I56" s="30">
        <f t="shared" si="2"/>
        <v>1132.7250039423054</v>
      </c>
      <c r="K56" s="30">
        <f t="shared" si="3"/>
        <v>55.65535101857799</v>
      </c>
      <c r="L56" s="30">
        <f>'Table 8C LCOE Coal Valuation'!L54</f>
        <v>38.962265053943504</v>
      </c>
      <c r="M56" s="30">
        <f t="shared" si="1"/>
        <v>16.693085964634484</v>
      </c>
      <c r="N56" s="37"/>
    </row>
    <row r="57" spans="2:14" ht="12.75">
      <c r="B57" s="15"/>
      <c r="C57" s="11"/>
      <c r="D57" s="11"/>
      <c r="E57" s="12"/>
      <c r="F57" s="12"/>
      <c r="G57" s="12"/>
      <c r="H57" s="12"/>
      <c r="I57" s="12"/>
      <c r="J57" s="12"/>
      <c r="K57" s="12"/>
      <c r="L57" s="12"/>
      <c r="M57" s="12"/>
      <c r="N57" s="37"/>
    </row>
    <row r="58" spans="2:14" ht="12.75">
      <c r="B58" s="46"/>
      <c r="N58" s="37"/>
    </row>
    <row r="59" spans="2:14" ht="12.75">
      <c r="B59" s="166" t="s">
        <v>250</v>
      </c>
      <c r="C59" s="199" t="s">
        <v>350</v>
      </c>
      <c r="H59" s="30"/>
      <c r="I59" s="30"/>
      <c r="K59" s="30">
        <f>SUM(K11:K56)</f>
        <v>6225.889823489568</v>
      </c>
      <c r="L59" s="30">
        <f>SUM(L11:L56)</f>
        <v>6225.889823489567</v>
      </c>
      <c r="M59" s="30">
        <f>SUM(M11:M56)</f>
        <v>6.750155989720952E-13</v>
      </c>
      <c r="N59" s="37"/>
    </row>
    <row r="60" spans="1:14" ht="13.5" thickBot="1">
      <c r="A60" s="9"/>
      <c r="B60" s="43"/>
      <c r="C60" s="87"/>
      <c r="D60" s="75"/>
      <c r="E60" s="9"/>
      <c r="F60" s="9"/>
      <c r="G60" s="9"/>
      <c r="H60" s="94"/>
      <c r="I60" s="94"/>
      <c r="J60" s="9"/>
      <c r="K60" s="94"/>
      <c r="L60" s="94"/>
      <c r="M60" s="89"/>
      <c r="N60" s="9"/>
    </row>
    <row r="61" spans="2:14" ht="12.75">
      <c r="B61"/>
      <c r="N61" s="37"/>
    </row>
    <row r="62" spans="2:14" ht="12.75">
      <c r="B62" s="15" t="s">
        <v>177</v>
      </c>
      <c r="N62" s="37"/>
    </row>
    <row r="63" spans="2:14" ht="12.75">
      <c r="B63" s="15" t="s">
        <v>468</v>
      </c>
      <c r="C63" s="32"/>
      <c r="N63" s="37"/>
    </row>
    <row r="64" spans="2:14" ht="12.75">
      <c r="B64" s="15" t="s">
        <v>156</v>
      </c>
      <c r="C64" s="99" t="s">
        <v>575</v>
      </c>
      <c r="N64" s="37"/>
    </row>
    <row r="65" spans="2:3" ht="12.75">
      <c r="B65" s="15" t="s">
        <v>157</v>
      </c>
      <c r="C65" s="99" t="s">
        <v>576</v>
      </c>
    </row>
    <row r="66" spans="2:3" ht="12.75">
      <c r="B66" s="15" t="s">
        <v>158</v>
      </c>
      <c r="C66" s="99" t="s">
        <v>577</v>
      </c>
    </row>
    <row r="67" spans="2:3" ht="12.75">
      <c r="B67" s="15" t="s">
        <v>159</v>
      </c>
      <c r="C67" s="99" t="s">
        <v>467</v>
      </c>
    </row>
    <row r="68" spans="2:3" ht="12.75">
      <c r="B68" s="15" t="s">
        <v>210</v>
      </c>
      <c r="C68" s="99" t="s">
        <v>19</v>
      </c>
    </row>
    <row r="69" spans="2:3" ht="12.75">
      <c r="B69" s="15" t="s">
        <v>250</v>
      </c>
      <c r="C69" s="99" t="s">
        <v>454</v>
      </c>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s="15"/>
    </row>
    <row r="112" ht="12.75">
      <c r="B112" s="15"/>
    </row>
    <row r="113" ht="12.75">
      <c r="B113" s="15"/>
    </row>
    <row r="114" ht="12.75">
      <c r="B114" s="15"/>
    </row>
  </sheetData>
  <sheetProtection/>
  <printOptions horizontalCentered="1"/>
  <pageMargins left="0.75" right="0.5" top="1" bottom="1" header="0.5" footer="0.5"/>
  <pageSetup fitToHeight="2" orientation="portrait" scale="86" r:id="rId1"/>
  <rowBreaks count="1" manualBreakCount="1">
    <brk id="36" max="13" man="1"/>
  </rowBreaks>
</worksheet>
</file>

<file path=xl/worksheets/sheet16.xml><?xml version="1.0" encoding="utf-8"?>
<worksheet xmlns="http://schemas.openxmlformats.org/spreadsheetml/2006/main" xmlns:r="http://schemas.openxmlformats.org/officeDocument/2006/relationships">
  <sheetPr>
    <pageSetUpPr fitToPage="1"/>
  </sheetPr>
  <dimension ref="A3:Z53"/>
  <sheetViews>
    <sheetView zoomScaleSheetLayoutView="74" zoomScalePageLayoutView="0" workbookViewId="0" topLeftCell="D1">
      <selection activeCell="S19" sqref="S19"/>
    </sheetView>
  </sheetViews>
  <sheetFormatPr defaultColWidth="9.140625" defaultRowHeight="12.75"/>
  <cols>
    <col min="1" max="1" width="2.8515625" style="134" customWidth="1"/>
    <col min="2" max="2" width="4.28125" style="129" customWidth="1"/>
    <col min="3" max="3" width="32.140625" style="129" customWidth="1"/>
    <col min="4" max="4" width="26.57421875" style="129" customWidth="1"/>
    <col min="5" max="5" width="7.7109375" style="148" customWidth="1"/>
    <col min="6" max="6" width="76.28125" style="0" customWidth="1"/>
    <col min="7" max="7" width="8.140625" style="129" customWidth="1"/>
    <col min="8" max="8" width="8.7109375" style="121" customWidth="1"/>
    <col min="9" max="9" width="6.00390625" style="129" customWidth="1"/>
    <col min="10" max="10" width="10.8515625" style="148" customWidth="1"/>
    <col min="11" max="11" width="2.28125" style="148" customWidth="1"/>
    <col min="12" max="12" width="9.7109375" style="0" customWidth="1"/>
    <col min="13" max="13" width="9.28125" style="129" customWidth="1"/>
    <col min="14" max="14" width="8.7109375" style="129" customWidth="1"/>
    <col min="15" max="15" width="6.7109375" style="0" customWidth="1"/>
    <col min="16" max="16" width="10.7109375" style="148" customWidth="1"/>
    <col min="17" max="17" width="2.57421875" style="0" customWidth="1"/>
    <col min="18" max="23" width="9.140625" style="129" customWidth="1"/>
    <col min="24" max="24" width="9.28125" style="129" bestFit="1" customWidth="1"/>
    <col min="25" max="25" width="9.421875" style="129" bestFit="1" customWidth="1"/>
    <col min="26" max="16384" width="9.140625" style="129" customWidth="1"/>
  </cols>
  <sheetData>
    <row r="3" spans="1:17" ht="16.5" thickBot="1">
      <c r="A3" s="125"/>
      <c r="B3" s="42" t="s">
        <v>362</v>
      </c>
      <c r="C3" s="126"/>
      <c r="D3" s="125"/>
      <c r="E3" s="127"/>
      <c r="F3" s="9"/>
      <c r="G3" s="125"/>
      <c r="H3" s="128"/>
      <c r="I3" s="125"/>
      <c r="J3" s="127"/>
      <c r="K3" s="127"/>
      <c r="L3" s="9"/>
      <c r="M3" s="125"/>
      <c r="N3" s="125"/>
      <c r="O3" s="9"/>
      <c r="P3" s="127"/>
      <c r="Q3" s="9"/>
    </row>
    <row r="4" spans="1:17" s="133" customFormat="1" ht="40.5" customHeight="1">
      <c r="A4" s="130"/>
      <c r="B4" s="131"/>
      <c r="C4" s="131" t="s">
        <v>30</v>
      </c>
      <c r="D4" s="131" t="s">
        <v>31</v>
      </c>
      <c r="E4" s="131" t="s">
        <v>32</v>
      </c>
      <c r="F4" s="161" t="s">
        <v>368</v>
      </c>
      <c r="G4" s="131" t="s">
        <v>33</v>
      </c>
      <c r="H4" s="176" t="s">
        <v>429</v>
      </c>
      <c r="I4" s="131" t="s">
        <v>363</v>
      </c>
      <c r="J4" s="131" t="s">
        <v>369</v>
      </c>
      <c r="K4" s="131"/>
      <c r="L4" s="260" t="s">
        <v>634</v>
      </c>
      <c r="M4" s="261"/>
      <c r="N4" s="131" t="s">
        <v>364</v>
      </c>
      <c r="O4" s="131" t="s">
        <v>370</v>
      </c>
      <c r="P4" s="131" t="s">
        <v>371</v>
      </c>
      <c r="Q4" s="161"/>
    </row>
    <row r="5" spans="1:21" s="133" customFormat="1" ht="16.5" customHeight="1">
      <c r="A5" s="134"/>
      <c r="B5" s="131"/>
      <c r="C5" s="131"/>
      <c r="D5" s="131"/>
      <c r="E5" s="131"/>
      <c r="G5" s="131" t="s">
        <v>37</v>
      </c>
      <c r="H5" s="132" t="s">
        <v>322</v>
      </c>
      <c r="I5" s="131"/>
      <c r="J5" s="131"/>
      <c r="K5" s="131"/>
      <c r="L5" s="170" t="s">
        <v>449</v>
      </c>
      <c r="M5" s="131" t="s">
        <v>38</v>
      </c>
      <c r="N5" s="131" t="s">
        <v>38</v>
      </c>
      <c r="O5" s="133" t="s">
        <v>38</v>
      </c>
      <c r="P5" s="131" t="s">
        <v>38</v>
      </c>
      <c r="U5" s="135"/>
    </row>
    <row r="6" spans="1:21" s="133" customFormat="1" ht="12.75">
      <c r="A6" s="134"/>
      <c r="B6" s="136"/>
      <c r="C6" s="136" t="s">
        <v>153</v>
      </c>
      <c r="D6" s="136" t="s">
        <v>154</v>
      </c>
      <c r="E6" s="136" t="s">
        <v>155</v>
      </c>
      <c r="F6" s="136" t="s">
        <v>156</v>
      </c>
      <c r="G6" s="136" t="s">
        <v>157</v>
      </c>
      <c r="H6" s="136" t="s">
        <v>158</v>
      </c>
      <c r="I6" s="136" t="s">
        <v>159</v>
      </c>
      <c r="J6" s="136" t="s">
        <v>210</v>
      </c>
      <c r="K6" s="131"/>
      <c r="L6" s="136" t="s">
        <v>211</v>
      </c>
      <c r="M6" s="136" t="s">
        <v>303</v>
      </c>
      <c r="N6" s="136" t="s">
        <v>399</v>
      </c>
      <c r="O6" s="136" t="s">
        <v>213</v>
      </c>
      <c r="P6" s="170" t="s">
        <v>451</v>
      </c>
      <c r="U6" s="135"/>
    </row>
    <row r="7" spans="2:16" ht="12.75">
      <c r="B7" s="134"/>
      <c r="C7" s="134"/>
      <c r="D7" s="134"/>
      <c r="E7" s="162"/>
      <c r="F7" s="163"/>
      <c r="G7" s="137"/>
      <c r="H7" s="138"/>
      <c r="I7" s="139"/>
      <c r="J7" s="140"/>
      <c r="K7" s="140"/>
      <c r="L7" s="188"/>
      <c r="M7" s="139"/>
      <c r="N7" s="139"/>
      <c r="O7" s="178"/>
      <c r="P7" s="179"/>
    </row>
    <row r="8" spans="2:25" ht="12.75">
      <c r="B8" s="129" t="s">
        <v>160</v>
      </c>
      <c r="C8" s="175" t="s">
        <v>425</v>
      </c>
      <c r="D8" s="145" t="s">
        <v>323</v>
      </c>
      <c r="E8" s="142" t="s">
        <v>324</v>
      </c>
      <c r="F8" s="145" t="s">
        <v>372</v>
      </c>
      <c r="G8" s="259">
        <v>461</v>
      </c>
      <c r="H8" s="142">
        <v>7079</v>
      </c>
      <c r="I8" s="148">
        <v>2004</v>
      </c>
      <c r="J8" s="140">
        <v>2007</v>
      </c>
      <c r="K8" s="184" t="s">
        <v>434</v>
      </c>
      <c r="L8" s="187">
        <v>221.5</v>
      </c>
      <c r="M8" s="259">
        <f aca="true" t="shared" si="0" ref="M8:M19">L8*1000/G8</f>
        <v>480.47722342733186</v>
      </c>
      <c r="N8" s="259">
        <f aca="true" t="shared" si="1" ref="N8:N19">IF(I8&gt;2007,M8*(1.03)^(2007-I8),M8*(1.107)^(2007-I8))</f>
        <v>651.801968599783</v>
      </c>
      <c r="O8" s="3">
        <f>colocation</f>
        <v>-43</v>
      </c>
      <c r="P8" s="142">
        <f>N8-O8</f>
        <v>694.801968599783</v>
      </c>
      <c r="U8" s="143"/>
      <c r="X8" s="146"/>
      <c r="Y8" s="146"/>
    </row>
    <row r="9" spans="1:26" ht="12.75">
      <c r="A9" s="121"/>
      <c r="B9" s="129" t="s">
        <v>161</v>
      </c>
      <c r="C9" s="144" t="s">
        <v>356</v>
      </c>
      <c r="D9" s="121" t="s">
        <v>325</v>
      </c>
      <c r="E9" s="142" t="s">
        <v>324</v>
      </c>
      <c r="F9" s="121" t="s">
        <v>373</v>
      </c>
      <c r="G9" s="259">
        <v>520</v>
      </c>
      <c r="H9" s="147">
        <f>84400*1000/(520*24)</f>
        <v>6762.820512820513</v>
      </c>
      <c r="I9" s="148">
        <v>2005</v>
      </c>
      <c r="J9" s="148">
        <v>2007</v>
      </c>
      <c r="K9" s="184" t="s">
        <v>434</v>
      </c>
      <c r="L9" s="187">
        <v>250</v>
      </c>
      <c r="M9" s="259">
        <f t="shared" si="0"/>
        <v>480.7692307692308</v>
      </c>
      <c r="N9" s="259">
        <f t="shared" si="1"/>
        <v>589.158173076923</v>
      </c>
      <c r="O9" s="3">
        <f>chiller+ductburn+colocation</f>
        <v>-11</v>
      </c>
      <c r="P9" s="142">
        <f aca="true" t="shared" si="2" ref="P9:P19">N9-O9</f>
        <v>600.158173076923</v>
      </c>
      <c r="U9" s="143"/>
      <c r="X9" s="146"/>
      <c r="Y9" s="146"/>
      <c r="Z9" s="143"/>
    </row>
    <row r="10" spans="1:24" ht="12.75">
      <c r="A10" s="121"/>
      <c r="B10" s="129" t="s">
        <v>162</v>
      </c>
      <c r="C10" s="144" t="s">
        <v>326</v>
      </c>
      <c r="D10" s="145" t="s">
        <v>327</v>
      </c>
      <c r="E10" s="142" t="s">
        <v>328</v>
      </c>
      <c r="F10" s="145" t="s">
        <v>374</v>
      </c>
      <c r="G10" s="259">
        <v>414</v>
      </c>
      <c r="H10" s="142">
        <v>6700</v>
      </c>
      <c r="I10" s="148">
        <v>2005</v>
      </c>
      <c r="J10" s="148">
        <v>2007</v>
      </c>
      <c r="K10" s="185" t="s">
        <v>434</v>
      </c>
      <c r="L10" s="187">
        <v>285.2</v>
      </c>
      <c r="M10" s="259">
        <f t="shared" si="0"/>
        <v>688.8888888888889</v>
      </c>
      <c r="N10" s="259">
        <f t="shared" si="1"/>
        <v>844.1982</v>
      </c>
      <c r="O10" s="3">
        <f>chiller+ductburn</f>
        <v>32</v>
      </c>
      <c r="P10" s="142">
        <f t="shared" si="2"/>
        <v>812.1982</v>
      </c>
      <c r="U10" s="141"/>
      <c r="X10" s="146"/>
    </row>
    <row r="11" spans="2:16" ht="12.75">
      <c r="B11" s="129" t="s">
        <v>163</v>
      </c>
      <c r="C11" s="175" t="s">
        <v>423</v>
      </c>
      <c r="D11" s="145" t="s">
        <v>329</v>
      </c>
      <c r="E11" s="142" t="s">
        <v>324</v>
      </c>
      <c r="F11" s="145" t="s">
        <v>375</v>
      </c>
      <c r="G11" s="259">
        <v>514</v>
      </c>
      <c r="H11" s="192"/>
      <c r="I11" s="148">
        <v>2005</v>
      </c>
      <c r="J11" s="148">
        <v>2008</v>
      </c>
      <c r="K11" s="185" t="s">
        <v>434</v>
      </c>
      <c r="L11" s="187">
        <v>421</v>
      </c>
      <c r="M11" s="259">
        <f t="shared" si="0"/>
        <v>819.0661478599221</v>
      </c>
      <c r="N11" s="259">
        <f t="shared" si="1"/>
        <v>1003.7237918287938</v>
      </c>
      <c r="O11" s="3">
        <f>drycool+colocation</f>
        <v>5</v>
      </c>
      <c r="P11" s="142">
        <f>N11-O11</f>
        <v>998.7237918287938</v>
      </c>
    </row>
    <row r="12" spans="2:26" ht="12.75">
      <c r="B12" s="129" t="s">
        <v>164</v>
      </c>
      <c r="C12" s="144" t="s">
        <v>357</v>
      </c>
      <c r="D12" s="145" t="s">
        <v>330</v>
      </c>
      <c r="E12" s="137" t="s">
        <v>324</v>
      </c>
      <c r="F12" s="145" t="s">
        <v>376</v>
      </c>
      <c r="G12" s="259">
        <v>660</v>
      </c>
      <c r="H12" s="147">
        <f>6846</f>
        <v>6846</v>
      </c>
      <c r="I12" s="148">
        <v>2006</v>
      </c>
      <c r="J12" s="148">
        <v>2010</v>
      </c>
      <c r="K12" s="140"/>
      <c r="L12" s="187">
        <f>AVERAGE(450,500)</f>
        <v>475</v>
      </c>
      <c r="M12" s="259">
        <f t="shared" si="0"/>
        <v>719.6969696969697</v>
      </c>
      <c r="N12" s="259">
        <f t="shared" si="1"/>
        <v>796.7045454545455</v>
      </c>
      <c r="O12" s="3">
        <f>drycool+chiller+ductburn</f>
        <v>80</v>
      </c>
      <c r="P12" s="142">
        <f t="shared" si="2"/>
        <v>716.7045454545455</v>
      </c>
      <c r="U12" s="143"/>
      <c r="X12" s="146"/>
      <c r="Y12" s="146"/>
      <c r="Z12" s="143"/>
    </row>
    <row r="13" spans="2:26" ht="12.75">
      <c r="B13" s="129" t="s">
        <v>165</v>
      </c>
      <c r="C13" s="144" t="s">
        <v>358</v>
      </c>
      <c r="D13" s="145" t="s">
        <v>331</v>
      </c>
      <c r="E13" s="137" t="s">
        <v>324</v>
      </c>
      <c r="F13" s="174" t="s">
        <v>431</v>
      </c>
      <c r="G13" s="259">
        <v>656</v>
      </c>
      <c r="H13" s="147">
        <v>7062</v>
      </c>
      <c r="I13" s="148">
        <v>2007</v>
      </c>
      <c r="J13" s="148">
        <v>2010</v>
      </c>
      <c r="K13" s="140"/>
      <c r="L13" s="187">
        <f>AVERAGE(500,540)</f>
        <v>520</v>
      </c>
      <c r="M13" s="259">
        <f t="shared" si="0"/>
        <v>792.6829268292682</v>
      </c>
      <c r="N13" s="259">
        <f t="shared" si="1"/>
        <v>792.6829268292682</v>
      </c>
      <c r="O13" s="3">
        <f>drycool+chiller+ductburn+colocation+urban</f>
        <v>48</v>
      </c>
      <c r="P13" s="142">
        <f t="shared" si="2"/>
        <v>744.6829268292682</v>
      </c>
      <c r="U13" s="143"/>
      <c r="X13" s="146"/>
      <c r="Y13" s="146"/>
      <c r="Z13" s="143"/>
    </row>
    <row r="14" spans="2:26" ht="12.75">
      <c r="B14" s="129" t="s">
        <v>166</v>
      </c>
      <c r="C14" s="175" t="s">
        <v>426</v>
      </c>
      <c r="D14" s="145" t="s">
        <v>332</v>
      </c>
      <c r="E14" s="137" t="s">
        <v>324</v>
      </c>
      <c r="F14" s="145" t="s">
        <v>377</v>
      </c>
      <c r="G14" s="259">
        <v>570</v>
      </c>
      <c r="H14" s="147"/>
      <c r="I14" s="148">
        <v>2008</v>
      </c>
      <c r="J14" s="148">
        <v>2011</v>
      </c>
      <c r="K14" s="140"/>
      <c r="L14" s="187">
        <f>AVERAGE(700,750)</f>
        <v>725</v>
      </c>
      <c r="M14" s="259">
        <f t="shared" si="0"/>
        <v>1271.9298245614036</v>
      </c>
      <c r="N14" s="259">
        <f t="shared" si="1"/>
        <v>1234.8833248168967</v>
      </c>
      <c r="O14" s="3">
        <f>ductburn+colocation</f>
        <v>-22</v>
      </c>
      <c r="P14" s="142">
        <f t="shared" si="2"/>
        <v>1256.8833248168967</v>
      </c>
      <c r="U14" s="143"/>
      <c r="X14" s="146"/>
      <c r="Y14" s="146"/>
      <c r="Z14" s="143"/>
    </row>
    <row r="15" spans="2:26" ht="12.75">
      <c r="B15" s="129" t="s">
        <v>167</v>
      </c>
      <c r="C15" s="144" t="s">
        <v>359</v>
      </c>
      <c r="D15" s="145" t="s">
        <v>333</v>
      </c>
      <c r="E15" s="137" t="s">
        <v>328</v>
      </c>
      <c r="F15" s="174" t="s">
        <v>421</v>
      </c>
      <c r="G15" s="259">
        <v>255</v>
      </c>
      <c r="H15" s="147">
        <v>6797</v>
      </c>
      <c r="I15" s="148">
        <v>2008</v>
      </c>
      <c r="J15" s="148">
        <v>2012</v>
      </c>
      <c r="K15" s="140"/>
      <c r="L15" s="187">
        <v>275</v>
      </c>
      <c r="M15" s="259">
        <f t="shared" si="0"/>
        <v>1078.4313725490197</v>
      </c>
      <c r="N15" s="259">
        <f t="shared" si="1"/>
        <v>1047.020750047592</v>
      </c>
      <c r="O15" s="3">
        <f>ductburn+colocation</f>
        <v>-22</v>
      </c>
      <c r="P15" s="142">
        <f t="shared" si="2"/>
        <v>1069.020750047592</v>
      </c>
      <c r="U15" s="143"/>
      <c r="X15" s="146"/>
      <c r="Y15" s="146"/>
      <c r="Z15" s="143"/>
    </row>
    <row r="16" spans="2:26" ht="12.75">
      <c r="B16" s="129" t="s">
        <v>168</v>
      </c>
      <c r="C16" s="144" t="s">
        <v>360</v>
      </c>
      <c r="D16" s="174" t="s">
        <v>422</v>
      </c>
      <c r="E16" s="137" t="s">
        <v>324</v>
      </c>
      <c r="F16" s="145" t="s">
        <v>378</v>
      </c>
      <c r="G16" s="259">
        <v>660</v>
      </c>
      <c r="H16" s="147">
        <v>6885</v>
      </c>
      <c r="I16" s="148">
        <v>2008</v>
      </c>
      <c r="J16" s="148">
        <v>2013</v>
      </c>
      <c r="K16" s="140"/>
      <c r="L16" s="187">
        <f>AVERAGE(450,500)</f>
        <v>475</v>
      </c>
      <c r="M16" s="259">
        <f t="shared" si="0"/>
        <v>719.6969696969697</v>
      </c>
      <c r="N16" s="259">
        <f t="shared" si="1"/>
        <v>698.734922035893</v>
      </c>
      <c r="O16" s="3">
        <f>chiller+ductburn</f>
        <v>32</v>
      </c>
      <c r="P16" s="142">
        <f t="shared" si="2"/>
        <v>666.734922035893</v>
      </c>
      <c r="U16" s="143"/>
      <c r="X16" s="146"/>
      <c r="Y16" s="146"/>
      <c r="Z16" s="143"/>
    </row>
    <row r="17" spans="2:26" ht="12.75">
      <c r="B17" s="129" t="s">
        <v>169</v>
      </c>
      <c r="C17" s="144" t="s">
        <v>361</v>
      </c>
      <c r="D17" s="145" t="s">
        <v>334</v>
      </c>
      <c r="E17" s="137" t="s">
        <v>324</v>
      </c>
      <c r="F17" s="145" t="s">
        <v>379</v>
      </c>
      <c r="G17" s="259">
        <v>600</v>
      </c>
      <c r="H17" s="147">
        <f>86126*1000/(517*24)</f>
        <v>6941.16698903933</v>
      </c>
      <c r="I17" s="148">
        <v>2008</v>
      </c>
      <c r="J17" s="148">
        <v>2012</v>
      </c>
      <c r="K17" s="140"/>
      <c r="L17" s="187">
        <v>530</v>
      </c>
      <c r="M17" s="259">
        <f t="shared" si="0"/>
        <v>883.3333333333334</v>
      </c>
      <c r="N17" s="259">
        <f t="shared" si="1"/>
        <v>857.6051779935276</v>
      </c>
      <c r="O17" s="3">
        <f>drycool+chiller+ductburn</f>
        <v>80</v>
      </c>
      <c r="P17" s="142">
        <f t="shared" si="2"/>
        <v>777.6051779935276</v>
      </c>
      <c r="U17" s="143"/>
      <c r="X17" s="146"/>
      <c r="Y17" s="146"/>
      <c r="Z17" s="143"/>
    </row>
    <row r="18" spans="2:26" ht="12.75">
      <c r="B18" s="129" t="s">
        <v>170</v>
      </c>
      <c r="C18" s="175" t="s">
        <v>424</v>
      </c>
      <c r="D18" s="145" t="s">
        <v>335</v>
      </c>
      <c r="E18" s="137" t="s">
        <v>324</v>
      </c>
      <c r="F18" s="145" t="s">
        <v>380</v>
      </c>
      <c r="G18" s="259">
        <v>500</v>
      </c>
      <c r="H18" s="186"/>
      <c r="I18" s="148">
        <v>2008</v>
      </c>
      <c r="J18" s="148">
        <v>2012</v>
      </c>
      <c r="K18" s="140"/>
      <c r="L18" s="187">
        <f>0.9*682</f>
        <v>613.8000000000001</v>
      </c>
      <c r="M18" s="259">
        <f t="shared" si="0"/>
        <v>1227.6000000000001</v>
      </c>
      <c r="N18" s="259">
        <f t="shared" si="1"/>
        <v>1191.8446601941748</v>
      </c>
      <c r="O18" s="3">
        <f>colocation+drycool</f>
        <v>5</v>
      </c>
      <c r="P18" s="142">
        <f t="shared" si="2"/>
        <v>1186.8446601941748</v>
      </c>
      <c r="U18" s="143"/>
      <c r="X18" s="146"/>
      <c r="Y18" s="146"/>
      <c r="Z18" s="143"/>
    </row>
    <row r="19" spans="2:26" ht="12.75">
      <c r="B19" s="129" t="s">
        <v>171</v>
      </c>
      <c r="C19" s="144" t="s">
        <v>138</v>
      </c>
      <c r="D19" s="145" t="s">
        <v>336</v>
      </c>
      <c r="E19" s="137" t="s">
        <v>381</v>
      </c>
      <c r="F19" s="145" t="s">
        <v>382</v>
      </c>
      <c r="G19" s="259">
        <v>1219</v>
      </c>
      <c r="H19" s="147">
        <v>6582</v>
      </c>
      <c r="I19" s="148">
        <v>2011</v>
      </c>
      <c r="J19" s="148">
        <v>2011</v>
      </c>
      <c r="K19" s="140"/>
      <c r="L19" s="187">
        <f>735.8</f>
        <v>735.8</v>
      </c>
      <c r="M19" s="259">
        <f t="shared" si="0"/>
        <v>603.6095159967186</v>
      </c>
      <c r="N19" s="259">
        <f t="shared" si="1"/>
        <v>536.2992369617424</v>
      </c>
      <c r="O19" s="3">
        <f>colocation</f>
        <v>-43</v>
      </c>
      <c r="P19" s="142">
        <f t="shared" si="2"/>
        <v>579.2992369617424</v>
      </c>
      <c r="U19" s="143"/>
      <c r="X19" s="146"/>
      <c r="Y19" s="146"/>
      <c r="Z19" s="143"/>
    </row>
    <row r="20" spans="1:17" ht="13.5" thickBot="1">
      <c r="A20" s="125"/>
      <c r="B20" s="125"/>
      <c r="C20" s="125"/>
      <c r="D20" s="125"/>
      <c r="E20" s="127"/>
      <c r="F20" s="9"/>
      <c r="G20" s="149"/>
      <c r="H20" s="150"/>
      <c r="I20" s="151"/>
      <c r="J20" s="152"/>
      <c r="K20" s="152"/>
      <c r="L20" s="9"/>
      <c r="M20" s="151"/>
      <c r="N20" s="151"/>
      <c r="O20" s="180"/>
      <c r="P20" s="181"/>
      <c r="Q20" s="9"/>
    </row>
    <row r="21" spans="2:21" ht="12.75">
      <c r="B21" s="183" t="s">
        <v>434</v>
      </c>
      <c r="C21" s="174" t="s">
        <v>435</v>
      </c>
      <c r="D21" s="134"/>
      <c r="E21" s="137"/>
      <c r="F21" s="164"/>
      <c r="G21" s="139"/>
      <c r="I21" s="139"/>
      <c r="J21" s="131"/>
      <c r="K21" s="131"/>
      <c r="L21" s="164"/>
      <c r="M21" s="139"/>
      <c r="N21" s="177"/>
      <c r="Q21" s="164"/>
      <c r="R21" s="139"/>
      <c r="S21" s="139"/>
      <c r="U21" s="143"/>
    </row>
    <row r="22" spans="5:11" s="134" customFormat="1" ht="12.75">
      <c r="E22" s="137"/>
      <c r="J22" s="137"/>
      <c r="K22" s="137"/>
    </row>
    <row r="23" spans="2:20" s="134" customFormat="1" ht="12.75">
      <c r="B23" s="169" t="s">
        <v>450</v>
      </c>
      <c r="C23" s="129"/>
      <c r="E23" s="137"/>
      <c r="J23" s="137"/>
      <c r="K23" s="137"/>
      <c r="P23" s="137"/>
      <c r="T23" s="153"/>
    </row>
    <row r="24" spans="2:3" ht="12.75">
      <c r="B24" s="129" t="s">
        <v>160</v>
      </c>
      <c r="C24" s="169" t="s">
        <v>499</v>
      </c>
    </row>
    <row r="25" spans="2:3" ht="12.75">
      <c r="B25" s="129" t="s">
        <v>161</v>
      </c>
      <c r="C25" s="169" t="s">
        <v>412</v>
      </c>
    </row>
    <row r="26" spans="2:3" ht="12.75">
      <c r="B26" s="129" t="s">
        <v>162</v>
      </c>
      <c r="C26" s="169" t="s">
        <v>518</v>
      </c>
    </row>
    <row r="27" spans="2:3" ht="12.75">
      <c r="B27" s="129" t="s">
        <v>163</v>
      </c>
      <c r="C27" s="169" t="s">
        <v>501</v>
      </c>
    </row>
    <row r="28" spans="2:3" ht="12.75">
      <c r="B28" s="129" t="s">
        <v>164</v>
      </c>
      <c r="C28" s="169" t="s">
        <v>428</v>
      </c>
    </row>
    <row r="29" spans="2:3" ht="12.75">
      <c r="B29" s="129" t="s">
        <v>165</v>
      </c>
      <c r="C29" s="169" t="s">
        <v>432</v>
      </c>
    </row>
    <row r="30" spans="2:3" ht="12.75">
      <c r="B30" s="129" t="s">
        <v>166</v>
      </c>
      <c r="C30" s="169" t="s">
        <v>496</v>
      </c>
    </row>
    <row r="31" spans="2:3" ht="12.75">
      <c r="B31" s="129" t="s">
        <v>167</v>
      </c>
      <c r="C31" s="169" t="s">
        <v>498</v>
      </c>
    </row>
    <row r="32" spans="2:3" ht="12.75">
      <c r="B32" s="129" t="s">
        <v>168</v>
      </c>
      <c r="C32" s="169" t="s">
        <v>497</v>
      </c>
    </row>
    <row r="33" spans="2:3" ht="12.75">
      <c r="B33" s="129" t="s">
        <v>169</v>
      </c>
      <c r="C33" s="169" t="s">
        <v>430</v>
      </c>
    </row>
    <row r="34" spans="2:3" ht="12.75">
      <c r="B34" s="129" t="s">
        <v>170</v>
      </c>
      <c r="C34" s="169" t="s">
        <v>427</v>
      </c>
    </row>
    <row r="35" spans="2:3" ht="12.75">
      <c r="B35" s="129" t="s">
        <v>171</v>
      </c>
      <c r="C35" s="169" t="s">
        <v>433</v>
      </c>
    </row>
    <row r="37" ht="12.75">
      <c r="B37" s="169" t="s">
        <v>452</v>
      </c>
    </row>
    <row r="38" ht="12.75">
      <c r="C38" s="169" t="s">
        <v>436</v>
      </c>
    </row>
    <row r="39" spans="2:3" ht="12.75">
      <c r="B39" s="129" t="s">
        <v>160</v>
      </c>
      <c r="C39" s="169" t="s">
        <v>500</v>
      </c>
    </row>
    <row r="40" spans="2:3" ht="12.75">
      <c r="B40" s="129" t="s">
        <v>162</v>
      </c>
      <c r="C40" s="169" t="s">
        <v>517</v>
      </c>
    </row>
    <row r="42" spans="2:3" ht="12.75">
      <c r="B42" s="169" t="s">
        <v>494</v>
      </c>
      <c r="C42" s="169"/>
    </row>
    <row r="43" spans="2:3" ht="12.75">
      <c r="B43" s="169"/>
      <c r="C43" s="169" t="s">
        <v>495</v>
      </c>
    </row>
    <row r="53" ht="12.75">
      <c r="B53" s="169"/>
    </row>
  </sheetData>
  <sheetProtection/>
  <printOptions horizontalCentered="1"/>
  <pageMargins left="0.75" right="0.25" top="1" bottom="1" header="0.5" footer="0.5"/>
  <pageSetup fitToHeight="1" fitToWidth="1" horizontalDpi="600" verticalDpi="600" orientation="landscape" scale="54" r:id="rId1"/>
</worksheet>
</file>

<file path=xl/worksheets/sheet17.xml><?xml version="1.0" encoding="utf-8"?>
<worksheet xmlns="http://schemas.openxmlformats.org/spreadsheetml/2006/main" xmlns:r="http://schemas.openxmlformats.org/officeDocument/2006/relationships">
  <dimension ref="A3:P64"/>
  <sheetViews>
    <sheetView zoomScalePageLayoutView="0" workbookViewId="0" topLeftCell="A49">
      <selection activeCell="J63" sqref="J63"/>
    </sheetView>
  </sheetViews>
  <sheetFormatPr defaultColWidth="8.8515625" defaultRowHeight="12.75"/>
  <cols>
    <col min="1" max="1" width="2.8515625" style="37" customWidth="1"/>
    <col min="2" max="2" width="4.28125" style="45" customWidth="1"/>
    <col min="3" max="3" width="6.7109375" style="19" customWidth="1"/>
    <col min="4" max="4" width="9.421875" style="19" customWidth="1"/>
    <col min="5" max="5" width="3.8515625" style="0" customWidth="1"/>
    <col min="6" max="7" width="11.8515625" style="0" customWidth="1"/>
    <col min="8" max="8" width="11.8515625" style="20" customWidth="1"/>
    <col min="9" max="10" width="11.8515625" style="0" customWidth="1"/>
    <col min="11" max="11" width="2.8515625" style="37" customWidth="1"/>
    <col min="12" max="13" width="8.8515625" style="0" customWidth="1"/>
    <col min="14" max="16" width="11.421875" style="0" customWidth="1"/>
  </cols>
  <sheetData>
    <row r="3" spans="1:11" ht="16.5" thickBot="1">
      <c r="A3" s="9"/>
      <c r="B3" s="42" t="s">
        <v>354</v>
      </c>
      <c r="C3" s="75"/>
      <c r="D3" s="75"/>
      <c r="E3" s="9"/>
      <c r="F3" s="9"/>
      <c r="G3" s="9"/>
      <c r="H3" s="79"/>
      <c r="I3" s="9"/>
      <c r="J3" s="9"/>
      <c r="K3" s="9"/>
    </row>
    <row r="4" ht="15.75">
      <c r="B4" s="74"/>
    </row>
    <row r="5" spans="2:16" ht="15.75">
      <c r="B5" s="74"/>
      <c r="H5" s="101"/>
      <c r="N5" s="23"/>
      <c r="O5" s="102"/>
      <c r="P5" s="102"/>
    </row>
    <row r="6" spans="1:11" s="22" customFormat="1" ht="27" customHeight="1">
      <c r="A6" s="37"/>
      <c r="B6" s="74"/>
      <c r="C6" s="22" t="s">
        <v>72</v>
      </c>
      <c r="D6" s="22" t="s">
        <v>73</v>
      </c>
      <c r="F6" s="23" t="s">
        <v>108</v>
      </c>
      <c r="G6" s="23" t="s">
        <v>109</v>
      </c>
      <c r="H6" s="101" t="s">
        <v>143</v>
      </c>
      <c r="I6" s="23" t="s">
        <v>110</v>
      </c>
      <c r="J6" s="23" t="s">
        <v>74</v>
      </c>
      <c r="K6" s="37"/>
    </row>
    <row r="7" spans="1:11" s="22" customFormat="1" ht="12.75" customHeight="1">
      <c r="A7" s="17"/>
      <c r="B7" s="50"/>
      <c r="C7" s="80" t="s">
        <v>153</v>
      </c>
      <c r="D7" s="80" t="s">
        <v>154</v>
      </c>
      <c r="E7" s="80"/>
      <c r="F7" s="81" t="s">
        <v>155</v>
      </c>
      <c r="G7" s="81" t="s">
        <v>156</v>
      </c>
      <c r="H7" s="103" t="s">
        <v>157</v>
      </c>
      <c r="I7" s="81" t="s">
        <v>158</v>
      </c>
      <c r="J7" s="81" t="s">
        <v>159</v>
      </c>
      <c r="K7" s="17"/>
    </row>
    <row r="8" spans="1:11" s="22" customFormat="1" ht="12.75" customHeight="1">
      <c r="A8" s="17"/>
      <c r="B8" s="50"/>
      <c r="F8" s="23"/>
      <c r="G8" s="23"/>
      <c r="H8" s="101"/>
      <c r="I8" s="23"/>
      <c r="J8" s="23"/>
      <c r="K8" s="17"/>
    </row>
    <row r="9" spans="6:16" ht="12.75">
      <c r="F9" s="28"/>
      <c r="G9" s="28"/>
      <c r="H9" s="28"/>
      <c r="I9" s="28"/>
      <c r="J9" s="28"/>
      <c r="N9" s="24"/>
      <c r="O9" s="24"/>
      <c r="P9" s="24"/>
    </row>
    <row r="10" spans="2:16" ht="12.75">
      <c r="B10" s="46" t="s">
        <v>160</v>
      </c>
      <c r="C10" s="19">
        <v>-4</v>
      </c>
      <c r="D10" s="19">
        <v>2009</v>
      </c>
      <c r="F10" s="28"/>
      <c r="G10" s="28"/>
      <c r="H10" s="28"/>
      <c r="I10" s="28"/>
      <c r="J10" s="28"/>
      <c r="N10" s="24"/>
      <c r="O10" s="24"/>
      <c r="P10" s="24"/>
    </row>
    <row r="11" spans="2:16" ht="12.75">
      <c r="B11" s="46" t="s">
        <v>161</v>
      </c>
      <c r="C11" s="19">
        <v>-3</v>
      </c>
      <c r="D11" s="19">
        <v>2010</v>
      </c>
      <c r="F11" s="28"/>
      <c r="G11" s="28"/>
      <c r="H11" s="28"/>
      <c r="I11" s="28"/>
      <c r="J11" s="28"/>
      <c r="N11" s="24"/>
      <c r="O11" s="24"/>
      <c r="P11" s="24"/>
    </row>
    <row r="12" spans="2:16" ht="12.75">
      <c r="B12" s="46" t="s">
        <v>162</v>
      </c>
      <c r="C12" s="19">
        <v>-2</v>
      </c>
      <c r="D12" s="19">
        <v>2011</v>
      </c>
      <c r="F12" s="28"/>
      <c r="G12" s="28"/>
      <c r="H12" s="28"/>
      <c r="I12" s="28"/>
      <c r="J12" s="28"/>
      <c r="N12" s="24"/>
      <c r="O12" s="24"/>
      <c r="P12" s="24"/>
    </row>
    <row r="13" spans="2:16" ht="12.75">
      <c r="B13" s="46" t="s">
        <v>163</v>
      </c>
      <c r="C13" s="19">
        <v>-1</v>
      </c>
      <c r="D13" s="19">
        <v>2012</v>
      </c>
      <c r="F13" s="28">
        <f>costKgasO*Cgas*'Table 5 LCOE inputs'!K36/1000*'Escalation Factors'!M13</f>
        <v>492.6914815774999</v>
      </c>
      <c r="G13" s="28"/>
      <c r="H13" s="28"/>
      <c r="I13" s="28"/>
      <c r="J13" s="28"/>
      <c r="N13" s="24"/>
      <c r="O13" s="24"/>
      <c r="P13" s="24"/>
    </row>
    <row r="14" spans="2:16" ht="12.75">
      <c r="B14" s="46" t="s">
        <v>164</v>
      </c>
      <c r="C14" s="19">
        <v>0</v>
      </c>
      <c r="D14" s="19">
        <v>2013</v>
      </c>
      <c r="F14" s="28">
        <f>costKgasO*Cgas*'Table 5 LCOE inputs'!K37/1000*'Escalation Factors'!M14</f>
        <v>507.472226024825</v>
      </c>
      <c r="G14" s="28"/>
      <c r="H14" s="28"/>
      <c r="I14" s="28"/>
      <c r="J14" s="28"/>
      <c r="N14" s="24"/>
      <c r="O14" s="24"/>
      <c r="P14" s="24"/>
    </row>
    <row r="15" spans="2:16" ht="12.75">
      <c r="B15" s="46" t="s">
        <v>165</v>
      </c>
      <c r="C15" s="19">
        <v>1</v>
      </c>
      <c r="D15" s="19">
        <v>2014</v>
      </c>
      <c r="F15" s="28"/>
      <c r="G15" s="28">
        <f>'Table 5 LCOE inputs'!K40*SUM(F$9:F$14)</f>
        <v>50.008185380116245</v>
      </c>
      <c r="H15" s="28">
        <f>costKgasI*Cgas/1000*'Escalation Factors'!M15</f>
        <v>12.544713427333676</v>
      </c>
      <c r="I15" s="28">
        <f>((costOMfixgas*Cgas)/1000+(CFgas*Cgas*8766*costOMvargas/1000000000))*'Escalation Factors'!N15</f>
        <v>16.677836768831956</v>
      </c>
      <c r="J15" s="28">
        <f>(CFgas*Cgas*8766*costFgas*Hgas)/1000000000*'Escalation Factors'!O15</f>
        <v>451.70026982024933</v>
      </c>
      <c r="N15" s="24"/>
      <c r="O15" s="24"/>
      <c r="P15" s="24"/>
    </row>
    <row r="16" spans="2:16" ht="12.75">
      <c r="B16" s="46" t="s">
        <v>166</v>
      </c>
      <c r="C16" s="19">
        <v>2</v>
      </c>
      <c r="D16" s="19">
        <v>2015</v>
      </c>
      <c r="F16" s="28"/>
      <c r="G16" s="28">
        <f>'Table 5 LCOE inputs'!K41*SUM(F$9:F$14)</f>
        <v>95.01555222222086</v>
      </c>
      <c r="H16" s="28">
        <f>costKgasI*Cgas/1000*'Escalation Factors'!M16</f>
        <v>12.921054830153684</v>
      </c>
      <c r="I16" s="28">
        <f>((costOMfixgas*Cgas)/1000+(CFgas*Cgas*8766*costOMvargas/1000000000))*'Escalation Factors'!N16</f>
        <v>17.34995359061588</v>
      </c>
      <c r="J16" s="28">
        <f>(CFgas*Cgas*8766*costFgas*Hgas)/1000000000*'Escalation Factors'!O16</f>
        <v>467.577534304431</v>
      </c>
      <c r="N16" s="24"/>
      <c r="O16" s="24"/>
      <c r="P16" s="24"/>
    </row>
    <row r="17" spans="2:16" ht="12.75">
      <c r="B17" s="46" t="s">
        <v>167</v>
      </c>
      <c r="C17" s="19">
        <v>3</v>
      </c>
      <c r="D17" s="19">
        <v>2016</v>
      </c>
      <c r="F17" s="28"/>
      <c r="G17" s="28">
        <f>'Table 5 LCOE inputs'!K42*SUM(F$9:F$14)</f>
        <v>85.51399699999878</v>
      </c>
      <c r="H17" s="28">
        <f>costKgasI*Cgas/1000*'Escalation Factors'!M17</f>
        <v>13.308686475058295</v>
      </c>
      <c r="I17" s="28">
        <f>((costOMfixgas*Cgas)/1000+(CFgas*Cgas*8766*costOMvargas/1000000000))*'Escalation Factors'!N17</f>
        <v>18.0491567203177</v>
      </c>
      <c r="J17" s="28">
        <f>(CFgas*Cgas*8766*costFgas*Hgas)/1000000000*'Escalation Factors'!O17</f>
        <v>484.0128846352318</v>
      </c>
      <c r="N17" s="24"/>
      <c r="O17" s="24"/>
      <c r="P17" s="24"/>
    </row>
    <row r="18" spans="2:16" ht="12.75">
      <c r="B18" s="46" t="s">
        <v>168</v>
      </c>
      <c r="C18" s="19">
        <v>4</v>
      </c>
      <c r="D18" s="19">
        <v>2017</v>
      </c>
      <c r="F18" s="28"/>
      <c r="G18" s="28">
        <f>'Table 5 LCOE inputs'!K43*SUM(F$9:F$14)</f>
        <v>77.01260548537901</v>
      </c>
      <c r="H18" s="28">
        <f>costKgasI*Cgas/1000*'Escalation Factors'!M18</f>
        <v>13.707947069310043</v>
      </c>
      <c r="I18" s="28">
        <f>((costOMfixgas*Cgas)/1000+(CFgas*Cgas*8766*costOMvargas/1000000000))*'Escalation Factors'!N18</f>
        <v>18.776537736146505</v>
      </c>
      <c r="J18" s="28">
        <f>(CFgas*Cgas*8766*costFgas*Hgas)/1000000000*'Escalation Factors'!O18</f>
        <v>501.02593753016015</v>
      </c>
      <c r="N18" s="24"/>
      <c r="O18" s="24"/>
      <c r="P18" s="24"/>
    </row>
    <row r="19" spans="2:16" ht="12.75">
      <c r="B19" s="46" t="s">
        <v>169</v>
      </c>
      <c r="C19" s="19">
        <v>5</v>
      </c>
      <c r="D19" s="19">
        <v>2018</v>
      </c>
      <c r="F19" s="28"/>
      <c r="G19" s="28">
        <f>'Table 5 LCOE inputs'!K44*SUM(F$9:F$14)</f>
        <v>69.31134493684111</v>
      </c>
      <c r="H19" s="28">
        <f>costKgasI*Cgas/1000*'Escalation Factors'!M19</f>
        <v>14.119185481389346</v>
      </c>
      <c r="I19" s="28">
        <f>((costOMfixgas*Cgas)/1000+(CFgas*Cgas*8766*costOMvargas/1000000000))*'Escalation Factors'!N19</f>
        <v>19.53323220691321</v>
      </c>
      <c r="J19" s="28">
        <f>(CFgas*Cgas*8766*costFgas*Hgas)/1000000000*'Escalation Factors'!O19</f>
        <v>518.6369992343454</v>
      </c>
      <c r="N19" s="24"/>
      <c r="O19" s="24"/>
      <c r="P19" s="24"/>
    </row>
    <row r="20" spans="2:16" ht="12.75">
      <c r="B20" t="s">
        <v>170</v>
      </c>
      <c r="C20" s="19">
        <v>6</v>
      </c>
      <c r="D20" s="19">
        <v>2019</v>
      </c>
      <c r="F20" s="28"/>
      <c r="G20" s="28">
        <f>'Table 5 LCOE inputs'!K45*SUM(F$9:F$14)</f>
        <v>62.310198983624836</v>
      </c>
      <c r="H20" s="28">
        <f>costKgasI*Cgas/1000*'Escalation Factors'!M20</f>
        <v>14.542761045831023</v>
      </c>
      <c r="I20" s="28">
        <f>((costOMfixgas*Cgas)/1000+(CFgas*Cgas*8766*costOMvargas/1000000000))*'Escalation Factors'!N20</f>
        <v>20.32042146485181</v>
      </c>
      <c r="J20" s="28">
        <f>(CFgas*Cgas*8766*costFgas*Hgas)/1000000000*'Escalation Factors'!O20</f>
        <v>536.8670897574326</v>
      </c>
      <c r="N20" s="24"/>
      <c r="O20" s="24"/>
      <c r="P20" s="24"/>
    </row>
    <row r="21" spans="2:16" ht="12.75">
      <c r="B21" t="s">
        <v>171</v>
      </c>
      <c r="C21" s="19">
        <v>7</v>
      </c>
      <c r="D21" s="19">
        <v>2020</v>
      </c>
      <c r="F21" s="28"/>
      <c r="G21" s="28">
        <f>'Table 5 LCOE inputs'!K46*SUM(F$9:F$14)</f>
        <v>59.00965874853716</v>
      </c>
      <c r="H21" s="28">
        <f>costKgasI*Cgas/1000*'Escalation Factors'!M21</f>
        <v>14.979043877205953</v>
      </c>
      <c r="I21" s="28">
        <f>((costOMfixgas*Cgas)/1000+(CFgas*Cgas*8766*costOMvargas/1000000000))*'Escalation Factors'!N21</f>
        <v>21.139334449885336</v>
      </c>
      <c r="J21" s="28">
        <f>(CFgas*Cgas*8766*costFgas*Hgas)/1000000000*'Escalation Factors'!O21</f>
        <v>555.7379679624063</v>
      </c>
      <c r="N21" s="24"/>
      <c r="O21" s="24"/>
      <c r="P21" s="24"/>
    </row>
    <row r="22" spans="2:16" ht="12.75">
      <c r="B22" t="s">
        <v>174</v>
      </c>
      <c r="C22" s="19">
        <v>8</v>
      </c>
      <c r="D22" s="19">
        <v>2021</v>
      </c>
      <c r="F22" s="28"/>
      <c r="G22" s="28">
        <f>'Table 5 LCOE inputs'!K47*SUM(F$9:F$14)</f>
        <v>59.00965874853716</v>
      </c>
      <c r="H22" s="28">
        <f>costKgasI*Cgas/1000*'Escalation Factors'!M22</f>
        <v>15.428415193522135</v>
      </c>
      <c r="I22" s="28">
        <f>((costOMfixgas*Cgas)/1000+(CFgas*Cgas*8766*costOMvargas/1000000000))*'Escalation Factors'!N22</f>
        <v>21.991249628215716</v>
      </c>
      <c r="J22" s="28">
        <f>(CFgas*Cgas*8766*costFgas*Hgas)/1000000000*'Escalation Factors'!O22</f>
        <v>575.272157536285</v>
      </c>
      <c r="N22" s="24"/>
      <c r="O22" s="24"/>
      <c r="P22" s="24"/>
    </row>
    <row r="23" spans="2:16" ht="12.75">
      <c r="B23" t="s">
        <v>174</v>
      </c>
      <c r="C23" s="19">
        <v>9</v>
      </c>
      <c r="D23" s="19">
        <v>2022</v>
      </c>
      <c r="F23" s="28"/>
      <c r="G23" s="28">
        <f>'Table 5 LCOE inputs'!K48*SUM(F$9:F$14)</f>
        <v>59.1096751192974</v>
      </c>
      <c r="H23" s="28">
        <f>costKgasI*Cgas/1000*'Escalation Factors'!M23</f>
        <v>15.8912676493278</v>
      </c>
      <c r="I23" s="28">
        <f>((costOMfixgas*Cgas)/1000+(CFgas*Cgas*8766*costOMvargas/1000000000))*'Escalation Factors'!N23</f>
        <v>22.877496988232807</v>
      </c>
      <c r="J23" s="28">
        <f>(CFgas*Cgas*8766*costFgas*Hgas)/1000000000*'Escalation Factors'!O23</f>
        <v>595.4929738736855</v>
      </c>
      <c r="N23" s="24"/>
      <c r="O23" s="24"/>
      <c r="P23" s="24"/>
    </row>
    <row r="24" spans="2:16" ht="12.75">
      <c r="B24" t="s">
        <v>124</v>
      </c>
      <c r="C24" s="19">
        <v>10</v>
      </c>
      <c r="D24" s="19">
        <v>2023</v>
      </c>
      <c r="F24" s="28"/>
      <c r="G24" s="28">
        <f>'Table 5 LCOE inputs'!K49*SUM(F$9:F$14)</f>
        <v>59.00965874853716</v>
      </c>
      <c r="H24" s="28">
        <f>costKgasI*Cgas/1000*'Escalation Factors'!M24</f>
        <v>16.36800567880763</v>
      </c>
      <c r="I24" s="28">
        <f>((costOMfixgas*Cgas)/1000+(CFgas*Cgas*8766*costOMvargas/1000000000))*'Escalation Factors'!N24</f>
        <v>23.79946011685859</v>
      </c>
      <c r="J24" s="28">
        <f>(CFgas*Cgas*8766*costFgas*Hgas)/1000000000*'Escalation Factors'!O24</f>
        <v>616.4245519053454</v>
      </c>
      <c r="N24" s="24"/>
      <c r="O24" s="24"/>
      <c r="P24" s="24"/>
    </row>
    <row r="25" spans="2:16" ht="12.75">
      <c r="B25" t="s">
        <v>221</v>
      </c>
      <c r="C25" s="19">
        <v>11</v>
      </c>
      <c r="D25" s="19">
        <v>2024</v>
      </c>
      <c r="F25" s="28"/>
      <c r="G25" s="28">
        <f>'Table 5 LCOE inputs'!K50*SUM(F$9:F$14)</f>
        <v>59.1096751192974</v>
      </c>
      <c r="H25" s="28">
        <f>costKgasI*Cgas/1000*'Escalation Factors'!M25</f>
        <v>16.85904584917186</v>
      </c>
      <c r="I25" s="28">
        <f>((costOMfixgas*Cgas)/1000+(CFgas*Cgas*8766*costOMvargas/1000000000))*'Escalation Factors'!N25</f>
        <v>24.75857835956799</v>
      </c>
      <c r="J25" s="28">
        <f>(CFgas*Cgas*8766*costFgas*Hgas)/1000000000*'Escalation Factors'!O25</f>
        <v>638.0918749048184</v>
      </c>
      <c r="N25" s="24"/>
      <c r="O25" s="24"/>
      <c r="P25" s="24"/>
    </row>
    <row r="26" spans="2:16" ht="12.75">
      <c r="B26" t="s">
        <v>251</v>
      </c>
      <c r="C26" s="19">
        <v>12</v>
      </c>
      <c r="D26" s="19">
        <v>2025</v>
      </c>
      <c r="F26" s="28"/>
      <c r="G26" s="28">
        <f>'Table 5 LCOE inputs'!K51*SUM(F$9:F$14)</f>
        <v>59.00965874853716</v>
      </c>
      <c r="H26" s="28">
        <f>costKgasI*Cgas/1000*'Escalation Factors'!M26</f>
        <v>17.364817224647016</v>
      </c>
      <c r="I26" s="28">
        <f>((costOMfixgas*Cgas)/1000+(CFgas*Cgas*8766*costOMvargas/1000000000))*'Escalation Factors'!N26</f>
        <v>25.75634906745858</v>
      </c>
      <c r="J26" s="28">
        <f>(CFgas*Cgas*8766*costFgas*Hgas)/1000000000*'Escalation Factors'!O26</f>
        <v>660.5208043077228</v>
      </c>
      <c r="N26" s="24"/>
      <c r="O26" s="24"/>
      <c r="P26" s="24"/>
    </row>
    <row r="27" spans="2:16" ht="12.75">
      <c r="B27" t="s">
        <v>252</v>
      </c>
      <c r="C27" s="19">
        <v>13</v>
      </c>
      <c r="D27" s="19">
        <v>2026</v>
      </c>
      <c r="F27" s="28"/>
      <c r="G27" s="28">
        <f>'Table 5 LCOE inputs'!K52*SUM(F$9:F$14)</f>
        <v>59.1096751192974</v>
      </c>
      <c r="H27" s="28">
        <f>costKgasI*Cgas/1000*'Escalation Factors'!M27</f>
        <v>17.885761741386425</v>
      </c>
      <c r="I27" s="28">
        <f>((costOMfixgas*Cgas)/1000+(CFgas*Cgas*8766*costOMvargas/1000000000))*'Escalation Factors'!N27</f>
        <v>26.79432993487716</v>
      </c>
      <c r="J27" s="28">
        <f>(CFgas*Cgas*8766*costFgas*Hgas)/1000000000*'Escalation Factors'!O27</f>
        <v>683.7381105791392</v>
      </c>
      <c r="N27" s="24"/>
      <c r="O27" s="24"/>
      <c r="P27" s="24"/>
    </row>
    <row r="28" spans="2:16" ht="12.75">
      <c r="B28" t="s">
        <v>256</v>
      </c>
      <c r="C28" s="19">
        <v>14</v>
      </c>
      <c r="D28" s="19">
        <v>2027</v>
      </c>
      <c r="F28" s="28"/>
      <c r="G28" s="28">
        <f>'Table 5 LCOE inputs'!K53*SUM(F$9:F$14)</f>
        <v>59.00965874853716</v>
      </c>
      <c r="H28" s="28">
        <f>costKgasI*Cgas/1000*'Escalation Factors'!M28</f>
        <v>18.422334593628015</v>
      </c>
      <c r="I28" s="28">
        <f>((costOMfixgas*Cgas)/1000+(CFgas*Cgas*8766*costOMvargas/1000000000))*'Escalation Factors'!N28</f>
        <v>27.874141431252706</v>
      </c>
      <c r="J28" s="28">
        <f>(CFgas*Cgas*8766*costFgas*Hgas)/1000000000*'Escalation Factors'!O28</f>
        <v>707.7715051659959</v>
      </c>
      <c r="N28" s="24"/>
      <c r="O28" s="24"/>
      <c r="P28" s="24"/>
    </row>
    <row r="29" spans="2:16" ht="12.75">
      <c r="B29" t="s">
        <v>257</v>
      </c>
      <c r="C29" s="19">
        <v>15</v>
      </c>
      <c r="D29" s="19">
        <v>2028</v>
      </c>
      <c r="F29" s="28"/>
      <c r="G29" s="28">
        <f>'Table 5 LCOE inputs'!K54*SUM(F$9:F$14)</f>
        <v>59.1096751192974</v>
      </c>
      <c r="H29" s="28">
        <f>costKgasI*Cgas/1000*'Escalation Factors'!M29</f>
        <v>18.975004631436857</v>
      </c>
      <c r="I29" s="28">
        <f>((costOMfixgas*Cgas)/1000+(CFgas*Cgas*8766*costOMvargas/1000000000))*'Escalation Factors'!N29</f>
        <v>28.997469330932194</v>
      </c>
      <c r="J29" s="28">
        <f>(CFgas*Cgas*8766*costFgas*Hgas)/1000000000*'Escalation Factors'!O29</f>
        <v>732.6496735725807</v>
      </c>
      <c r="N29" s="24"/>
      <c r="O29" s="24"/>
      <c r="P29" s="24"/>
    </row>
    <row r="30" spans="2:16" ht="12.75">
      <c r="B30" t="s">
        <v>258</v>
      </c>
      <c r="C30" s="19">
        <v>16</v>
      </c>
      <c r="D30" s="19">
        <v>2029</v>
      </c>
      <c r="F30" s="28"/>
      <c r="G30" s="28">
        <f>'Table 5 LCOE inputs'!K55*SUM(F$9:F$14)</f>
        <v>29.50482937426858</v>
      </c>
      <c r="H30" s="28">
        <f>costKgasI*Cgas/1000*'Escalation Factors'!M30</f>
        <v>19.54425477037996</v>
      </c>
      <c r="I30" s="28">
        <f>((costOMfixgas*Cgas)/1000+(CFgas*Cgas*8766*costOMvargas/1000000000))*'Escalation Factors'!N30</f>
        <v>30.16606734496876</v>
      </c>
      <c r="J30" s="28">
        <f>(CFgas*Cgas*8766*costFgas*Hgas)/1000000000*'Escalation Factors'!O30</f>
        <v>758.4023095986569</v>
      </c>
      <c r="N30" s="24"/>
      <c r="O30" s="24"/>
      <c r="P30" s="24"/>
    </row>
    <row r="31" spans="2:16" ht="12.75">
      <c r="B31" t="s">
        <v>226</v>
      </c>
      <c r="C31" s="19">
        <v>17</v>
      </c>
      <c r="D31" s="19">
        <v>2030</v>
      </c>
      <c r="F31" s="28"/>
      <c r="G31" s="28"/>
      <c r="H31" s="28">
        <f>costKgasI*Cgas/1000*'Escalation Factors'!M31</f>
        <v>20.130582413491364</v>
      </c>
      <c r="I31" s="28">
        <f>((costOMfixgas*Cgas)/1000+(CFgas*Cgas*8766*costOMvargas/1000000000))*'Escalation Factors'!N31</f>
        <v>31.381759858971</v>
      </c>
      <c r="J31" s="28">
        <f>(CFgas*Cgas*8766*costFgas*Hgas)/1000000000*'Escalation Factors'!O31</f>
        <v>785.0601507810497</v>
      </c>
      <c r="N31" s="24"/>
      <c r="O31" s="24"/>
      <c r="P31" s="24"/>
    </row>
    <row r="32" spans="2:16" ht="12.75">
      <c r="B32" t="s">
        <v>227</v>
      </c>
      <c r="C32" s="19">
        <v>18</v>
      </c>
      <c r="D32" s="19">
        <v>2031</v>
      </c>
      <c r="F32" s="28"/>
      <c r="G32" s="28"/>
      <c r="H32" s="28">
        <f>costKgasI*Cgas/1000*'Escalation Factors'!M32</f>
        <v>20.7344998858961</v>
      </c>
      <c r="I32" s="28">
        <f>((costOMfixgas*Cgas)/1000+(CFgas*Cgas*8766*costOMvargas/1000000000))*'Escalation Factors'!N32</f>
        <v>32.64644478128753</v>
      </c>
      <c r="J32" s="28">
        <f>(CFgas*Cgas*8766*costFgas*Hgas)/1000000000*'Escalation Factors'!O32</f>
        <v>812.6550150810036</v>
      </c>
      <c r="N32" s="24"/>
      <c r="O32" s="24"/>
      <c r="P32" s="24"/>
    </row>
    <row r="33" spans="2:16" ht="12.75">
      <c r="B33" t="s">
        <v>228</v>
      </c>
      <c r="C33" s="19">
        <v>19</v>
      </c>
      <c r="D33" s="19">
        <v>2032</v>
      </c>
      <c r="F33" s="28"/>
      <c r="G33" s="28"/>
      <c r="H33" s="28">
        <f>costKgasI*Cgas/1000*'Escalation Factors'!M33</f>
        <v>21.35653488247298</v>
      </c>
      <c r="I33" s="28">
        <f>((costOMfixgas*Cgas)/1000+(CFgas*Cgas*8766*costOMvargas/1000000000))*'Escalation Factors'!N33</f>
        <v>33.96209650597341</v>
      </c>
      <c r="J33" s="28">
        <f>(CFgas*Cgas*8766*costFgas*Hgas)/1000000000*'Escalation Factors'!O33</f>
        <v>841.2198388611009</v>
      </c>
      <c r="N33" s="24"/>
      <c r="O33" s="24"/>
      <c r="P33" s="24"/>
    </row>
    <row r="34" spans="2:16" ht="12.75">
      <c r="B34" t="s">
        <v>229</v>
      </c>
      <c r="C34" s="19">
        <v>20</v>
      </c>
      <c r="D34" s="19">
        <v>2033</v>
      </c>
      <c r="F34" s="28"/>
      <c r="G34" s="28"/>
      <c r="H34" s="28">
        <f>costKgasI*Cgas/1000*'Escalation Factors'!M34</f>
        <v>21.997230928947175</v>
      </c>
      <c r="I34" s="28">
        <f>((costOMfixgas*Cgas)/1000+(CFgas*Cgas*8766*costOMvargas/1000000000))*'Escalation Factors'!N34</f>
        <v>35.33076899516414</v>
      </c>
      <c r="J34" s="28">
        <f>(CFgas*Cgas*8766*costFgas*Hgas)/1000000000*'Escalation Factors'!O34</f>
        <v>870.7887161970685</v>
      </c>
      <c r="N34" s="24"/>
      <c r="O34" s="24"/>
      <c r="P34" s="24"/>
    </row>
    <row r="35" spans="2:16" ht="12.75">
      <c r="B35" t="s">
        <v>230</v>
      </c>
      <c r="C35" s="19">
        <v>21</v>
      </c>
      <c r="D35" s="19">
        <v>2034</v>
      </c>
      <c r="F35" s="28"/>
      <c r="G35" s="28"/>
      <c r="H35" s="28">
        <f>costKgasI*Cgas/1000*'Escalation Factors'!M35</f>
        <v>22.657147856815588</v>
      </c>
      <c r="I35" s="28">
        <f>((costOMfixgas*Cgas)/1000+(CFgas*Cgas*8766*costOMvargas/1000000000))*'Escalation Factors'!N35</f>
        <v>36.75459898566926</v>
      </c>
      <c r="J35" s="28">
        <f>(CFgas*Cgas*8766*costFgas*Hgas)/1000000000*'Escalation Factors'!O35</f>
        <v>901.3969395713958</v>
      </c>
      <c r="N35" s="24"/>
      <c r="O35" s="24"/>
      <c r="P35" s="24"/>
    </row>
    <row r="36" spans="2:16" ht="12.75">
      <c r="B36" t="s">
        <v>231</v>
      </c>
      <c r="C36" s="19">
        <v>22</v>
      </c>
      <c r="D36" s="19">
        <v>2035</v>
      </c>
      <c r="F36" s="28"/>
      <c r="G36" s="28"/>
      <c r="H36" s="28">
        <f>costKgasI*Cgas/1000*'Escalation Factors'!M36</f>
        <v>23.336862292520056</v>
      </c>
      <c r="I36" s="28">
        <f>((costOMfixgas*Cgas)/1000+(CFgas*Cgas*8766*costOMvargas/1000000000))*'Escalation Factors'!N36</f>
        <v>38.235809324791724</v>
      </c>
      <c r="J36" s="28">
        <f>(CFgas*Cgas*8766*costFgas*Hgas)/1000000000*'Escalation Factors'!O36</f>
        <v>933.0810419973303</v>
      </c>
      <c r="N36" s="24"/>
      <c r="O36" s="24"/>
      <c r="P36" s="24"/>
    </row>
    <row r="37" spans="2:16" ht="12.75">
      <c r="B37" t="s">
        <v>232</v>
      </c>
      <c r="C37" s="19">
        <v>23</v>
      </c>
      <c r="D37" s="19">
        <v>2036</v>
      </c>
      <c r="F37" s="28"/>
      <c r="G37" s="28"/>
      <c r="H37" s="28">
        <f>costKgasI*Cgas/1000*'Escalation Factors'!M37</f>
        <v>24.036968161295654</v>
      </c>
      <c r="I37" s="28">
        <f>((costOMfixgas*Cgas)/1000+(CFgas*Cgas*8766*costOMvargas/1000000000))*'Escalation Factors'!N37</f>
        <v>39.77671244058083</v>
      </c>
      <c r="J37" s="28">
        <f>(CFgas*Cgas*8766*costFgas*Hgas)/1000000000*'Escalation Factors'!O37</f>
        <v>965.8788406235363</v>
      </c>
      <c r="N37" s="24"/>
      <c r="O37" s="24"/>
      <c r="P37" s="24"/>
    </row>
    <row r="38" spans="2:16" ht="12.75">
      <c r="B38" t="s">
        <v>233</v>
      </c>
      <c r="C38" s="19">
        <v>24</v>
      </c>
      <c r="D38" s="19">
        <v>2037</v>
      </c>
      <c r="F38" s="28"/>
      <c r="G38" s="28"/>
      <c r="H38" s="28">
        <f>costKgasI*Cgas/1000*'Escalation Factors'!M38</f>
        <v>24.758077206134526</v>
      </c>
      <c r="I38" s="28">
        <f>((costOMfixgas*Cgas)/1000+(CFgas*Cgas*8766*costOMvargas/1000000000))*'Escalation Factors'!N38</f>
        <v>41.37971395193624</v>
      </c>
      <c r="J38" s="28">
        <f>(CFgas*Cgas*8766*costFgas*Hgas)/1000000000*'Escalation Factors'!O38</f>
        <v>999.8294818714538</v>
      </c>
      <c r="N38" s="24"/>
      <c r="O38" s="24"/>
      <c r="P38" s="24"/>
    </row>
    <row r="39" spans="2:16" ht="12.75">
      <c r="B39" t="s">
        <v>234</v>
      </c>
      <c r="C39" s="19">
        <v>25</v>
      </c>
      <c r="D39" s="19">
        <v>2038</v>
      </c>
      <c r="F39" s="28"/>
      <c r="G39" s="28"/>
      <c r="H39" s="28">
        <f>costKgasI*Cgas/1000*'Escalation Factors'!M39</f>
        <v>25.500819522318565</v>
      </c>
      <c r="I39" s="28">
        <f>((costOMfixgas*Cgas)/1000+(CFgas*Cgas*8766*costOMvargas/1000000000))*'Escalation Factors'!N39</f>
        <v>43.047316424199266</v>
      </c>
      <c r="J39" s="28">
        <f>(CFgas*Cgas*8766*costFgas*Hgas)/1000000000*'Escalation Factors'!O39</f>
        <v>1034.9734881592356</v>
      </c>
      <c r="N39" s="24"/>
      <c r="O39" s="24"/>
      <c r="P39" s="24"/>
    </row>
    <row r="40" spans="2:16" ht="12.75">
      <c r="B40" t="s">
        <v>235</v>
      </c>
      <c r="C40" s="19">
        <v>26</v>
      </c>
      <c r="D40" s="19">
        <v>2039</v>
      </c>
      <c r="F40" s="28"/>
      <c r="G40" s="28"/>
      <c r="H40" s="28">
        <f>costKgasI*Cgas/1000*'Escalation Factors'!M40</f>
        <v>26.265844107988116</v>
      </c>
      <c r="I40" s="28">
        <f>((costOMfixgas*Cgas)/1000+(CFgas*Cgas*8766*costOMvargas/1000000000))*'Escalation Factors'!N40</f>
        <v>44.782123276094495</v>
      </c>
      <c r="J40" s="28">
        <f>(CFgas*Cgas*8766*costFgas*Hgas)/1000000000*'Escalation Factors'!O40</f>
        <v>1071.3528062680325</v>
      </c>
      <c r="N40" s="24"/>
      <c r="O40" s="24"/>
      <c r="P40" s="24"/>
    </row>
    <row r="41" spans="2:16" ht="12.75">
      <c r="B41" t="s">
        <v>236</v>
      </c>
      <c r="C41" s="19">
        <v>27</v>
      </c>
      <c r="D41" s="19">
        <v>2040</v>
      </c>
      <c r="F41" s="28"/>
      <c r="G41" s="28"/>
      <c r="H41" s="28">
        <f>costKgasI*Cgas/1000*'Escalation Factors'!M41</f>
        <v>27.053819431227762</v>
      </c>
      <c r="I41" s="28">
        <f>((costOMfixgas*Cgas)/1000+(CFgas*Cgas*8766*costOMvargas/1000000000))*'Escalation Factors'!N41</f>
        <v>46.58684284412111</v>
      </c>
      <c r="J41" s="28">
        <f>(CFgas*Cgas*8766*costFgas*Hgas)/1000000000*'Escalation Factors'!O41</f>
        <v>1109.010857408354</v>
      </c>
      <c r="N41" s="24"/>
      <c r="O41" s="24"/>
      <c r="P41" s="24"/>
    </row>
    <row r="42" spans="2:16" ht="12.75">
      <c r="B42" t="s">
        <v>237</v>
      </c>
      <c r="C42" s="19">
        <v>28</v>
      </c>
      <c r="D42" s="19">
        <v>2041</v>
      </c>
      <c r="F42" s="28"/>
      <c r="G42" s="28"/>
      <c r="H42" s="28">
        <f>costKgasI*Cgas/1000*'Escalation Factors'!M42</f>
        <v>27.86543401416459</v>
      </c>
      <c r="I42" s="28">
        <f>((costOMfixgas*Cgas)/1000+(CFgas*Cgas*8766*costOMvargas/1000000000))*'Escalation Factors'!N42</f>
        <v>48.464292610739186</v>
      </c>
      <c r="J42" s="28">
        <f>(CFgas*Cgas*8766*costFgas*Hgas)/1000000000*'Escalation Factors'!O42</f>
        <v>1147.9925890462575</v>
      </c>
      <c r="N42" s="24"/>
      <c r="O42" s="24"/>
      <c r="P42" s="24"/>
    </row>
    <row r="43" spans="2:16" ht="12.75">
      <c r="B43" t="s">
        <v>238</v>
      </c>
      <c r="C43" s="19">
        <v>29</v>
      </c>
      <c r="D43" s="19">
        <v>2042</v>
      </c>
      <c r="F43" s="28"/>
      <c r="G43" s="28"/>
      <c r="H43" s="28">
        <f>costKgasI*Cgas/1000*'Escalation Factors'!M43</f>
        <v>28.701397034589533</v>
      </c>
      <c r="I43" s="28">
        <f>((costOMfixgas*Cgas)/1000+(CFgas*Cgas*8766*costOMvargas/1000000000))*'Escalation Factors'!N43</f>
        <v>50.41740360295198</v>
      </c>
      <c r="J43" s="28">
        <f>(CFgas*Cgas*8766*costFgas*Hgas)/1000000000*'Escalation Factors'!O43</f>
        <v>1188.3445285512335</v>
      </c>
      <c r="N43" s="24"/>
      <c r="O43" s="24"/>
      <c r="P43" s="24"/>
    </row>
    <row r="44" spans="2:16" ht="12.75">
      <c r="B44" t="s">
        <v>239</v>
      </c>
      <c r="C44" s="19">
        <v>30</v>
      </c>
      <c r="D44" s="19">
        <v>2043</v>
      </c>
      <c r="F44" s="28"/>
      <c r="G44" s="28"/>
      <c r="H44" s="28">
        <f>costKgasI*Cgas/1000*'Escalation Factors'!M44</f>
        <v>29.562438945627218</v>
      </c>
      <c r="I44" s="28">
        <f>((costOMfixgas*Cgas)/1000+(CFgas*Cgas*8766*costOMvargas/1000000000))*'Escalation Factors'!N44</f>
        <v>52.44922496815093</v>
      </c>
      <c r="J44" s="28">
        <f>(CFgas*Cgas*8766*costFgas*Hgas)/1000000000*'Escalation Factors'!O44</f>
        <v>1230.1148387298094</v>
      </c>
      <c r="N44" s="24"/>
      <c r="O44" s="24"/>
      <c r="P44" s="24"/>
    </row>
    <row r="45" spans="2:16" ht="12.75">
      <c r="B45" t="s">
        <v>240</v>
      </c>
      <c r="C45" s="19">
        <v>31</v>
      </c>
      <c r="D45" s="19">
        <v>2044</v>
      </c>
      <c r="F45" s="28"/>
      <c r="G45" s="28"/>
      <c r="H45" s="28">
        <f>costKgasI*Cgas/1000*'Escalation Factors'!M45</f>
        <v>30.44931211399603</v>
      </c>
      <c r="I45" s="28">
        <f>((costOMfixgas*Cgas)/1000+(CFgas*Cgas*8766*costOMvargas/1000000000))*'Escalation Factors'!N45</f>
        <v>54.56292873436742</v>
      </c>
      <c r="J45" s="28">
        <f>(CFgas*Cgas*8766*costFgas*Hgas)/1000000000*'Escalation Factors'!O45</f>
        <v>1273.3533753111622</v>
      </c>
      <c r="N45" s="24"/>
      <c r="O45" s="24"/>
      <c r="P45" s="24"/>
    </row>
    <row r="46" spans="2:16" ht="12.75">
      <c r="B46" t="s">
        <v>241</v>
      </c>
      <c r="C46" s="19">
        <v>32</v>
      </c>
      <c r="D46" s="19">
        <v>2045</v>
      </c>
      <c r="F46" s="28"/>
      <c r="G46" s="28"/>
      <c r="H46" s="28">
        <f>costKgasI*Cgas/1000*'Escalation Factors'!M46</f>
        <v>31.36279147741591</v>
      </c>
      <c r="I46" s="28">
        <f>((costOMfixgas*Cgas)/1000+(CFgas*Cgas*8766*costOMvargas/1000000000))*'Escalation Factors'!N46</f>
        <v>56.76181476236243</v>
      </c>
      <c r="J46" s="28">
        <f>(CFgas*Cgas*8766*costFgas*Hgas)/1000000000*'Escalation Factors'!O46</f>
        <v>1318.1117464533497</v>
      </c>
      <c r="N46" s="24"/>
      <c r="O46" s="24"/>
      <c r="P46" s="24"/>
    </row>
    <row r="47" spans="2:16" ht="12.75">
      <c r="B47" t="s">
        <v>242</v>
      </c>
      <c r="C47" s="19">
        <v>33</v>
      </c>
      <c r="D47" s="19">
        <v>2046</v>
      </c>
      <c r="F47" s="28"/>
      <c r="G47" s="28"/>
      <c r="H47" s="28">
        <f>costKgasI*Cgas/1000*'Escalation Factors'!M47</f>
        <v>32.303675221738395</v>
      </c>
      <c r="I47" s="28">
        <f>((costOMfixgas*Cgas)/1000+(CFgas*Cgas*8766*costOMvargas/1000000000))*'Escalation Factors'!N47</f>
        <v>59.04931589728563</v>
      </c>
      <c r="J47" s="28">
        <f>(CFgas*Cgas*8766*costFgas*Hgas)/1000000000*'Escalation Factors'!O47</f>
        <v>1364.443374341185</v>
      </c>
      <c r="N47" s="24"/>
      <c r="O47" s="24"/>
      <c r="P47" s="24"/>
    </row>
    <row r="48" spans="2:16" ht="12.75">
      <c r="B48" t="s">
        <v>243</v>
      </c>
      <c r="C48" s="19">
        <v>34</v>
      </c>
      <c r="D48" s="19">
        <v>2047</v>
      </c>
      <c r="F48" s="28"/>
      <c r="G48" s="28"/>
      <c r="H48" s="28">
        <f>costKgasI*Cgas/1000*'Escalation Factors'!M48</f>
        <v>33.27278547839054</v>
      </c>
      <c r="I48" s="28">
        <f>((costOMfixgas*Cgas)/1000+(CFgas*Cgas*8766*costOMvargas/1000000000))*'Escalation Factors'!N48</f>
        <v>61.42900332794624</v>
      </c>
      <c r="J48" s="28">
        <f>(CFgas*Cgas*8766*costFgas*Hgas)/1000000000*'Escalation Factors'!O48</f>
        <v>1412.4035589492776</v>
      </c>
      <c r="N48" s="24"/>
      <c r="O48" s="24"/>
      <c r="P48" s="24"/>
    </row>
    <row r="49" spans="2:16" ht="12.75">
      <c r="B49" t="s">
        <v>244</v>
      </c>
      <c r="C49" s="19">
        <v>35</v>
      </c>
      <c r="D49" s="19">
        <v>2048</v>
      </c>
      <c r="F49" s="28"/>
      <c r="G49" s="28"/>
      <c r="H49" s="28">
        <f>costKgasI*Cgas/1000*'Escalation Factors'!M49</f>
        <v>34.27096904274226</v>
      </c>
      <c r="I49" s="28">
        <f>((costOMfixgas*Cgas)/1000+(CFgas*Cgas*8766*costOMvargas/1000000000))*'Escalation Factors'!N49</f>
        <v>63.90459216206246</v>
      </c>
      <c r="J49" s="28">
        <f>(CFgas*Cgas*8766*costFgas*Hgas)/1000000000*'Escalation Factors'!O49</f>
        <v>1462.0495440463446</v>
      </c>
      <c r="N49" s="24"/>
      <c r="O49" s="24"/>
      <c r="P49" s="24"/>
    </row>
    <row r="50" spans="2:16" ht="12.75">
      <c r="B50" t="s">
        <v>245</v>
      </c>
      <c r="C50" s="19">
        <v>36</v>
      </c>
      <c r="D50" s="19">
        <v>2049</v>
      </c>
      <c r="F50" s="28"/>
      <c r="G50" s="28"/>
      <c r="H50" s="28">
        <f>costKgasI*Cgas/1000*'Escalation Factors'!M50</f>
        <v>35.299098114024524</v>
      </c>
      <c r="I50" s="28">
        <f>((costOMfixgas*Cgas)/1000+(CFgas*Cgas*8766*costOMvargas/1000000000))*'Escalation Factors'!N50</f>
        <v>66.47994722619359</v>
      </c>
      <c r="J50" s="28">
        <f>(CFgas*Cgas*8766*costFgas*Hgas)/1000000000*'Escalation Factors'!O50</f>
        <v>1513.4405855195737</v>
      </c>
      <c r="N50" s="24"/>
      <c r="O50" s="24"/>
      <c r="P50" s="24"/>
    </row>
    <row r="51" spans="2:16" ht="12.75">
      <c r="B51" t="s">
        <v>246</v>
      </c>
      <c r="C51" s="19">
        <v>37</v>
      </c>
      <c r="D51" s="19">
        <v>2050</v>
      </c>
      <c r="F51" s="28"/>
      <c r="G51" s="28"/>
      <c r="H51" s="28">
        <f>costKgasI*Cgas/1000*'Escalation Factors'!M51</f>
        <v>36.35807105744526</v>
      </c>
      <c r="I51" s="28">
        <f>((costOMfixgas*Cgas)/1000+(CFgas*Cgas*8766*costOMvargas/1000000000))*'Escalation Factors'!N51</f>
        <v>69.15908909940919</v>
      </c>
      <c r="J51" s="28">
        <f>(CFgas*Cgas*8766*costFgas*Hgas)/1000000000*'Escalation Factors'!O51</f>
        <v>1566.6380221005868</v>
      </c>
      <c r="N51" s="24"/>
      <c r="O51" s="24"/>
      <c r="P51" s="24"/>
    </row>
    <row r="52" spans="2:16" ht="12.75">
      <c r="B52" t="s">
        <v>247</v>
      </c>
      <c r="C52" s="19">
        <v>38</v>
      </c>
      <c r="D52" s="19">
        <v>2051</v>
      </c>
      <c r="F52" s="28"/>
      <c r="G52" s="28"/>
      <c r="H52" s="28">
        <f>costKgasI*Cgas/1000*'Escalation Factors'!M52</f>
        <v>37.44881318916861</v>
      </c>
      <c r="I52" s="28">
        <f>((costOMfixgas*Cgas)/1000+(CFgas*Cgas*8766*costOMvargas/1000000000))*'Escalation Factors'!N52</f>
        <v>71.94620039011537</v>
      </c>
      <c r="J52" s="28">
        <f>(CFgas*Cgas*8766*costFgas*Hgas)/1000000000*'Escalation Factors'!O52</f>
        <v>1621.7053485774225</v>
      </c>
      <c r="N52" s="24"/>
      <c r="O52" s="24"/>
      <c r="P52" s="24"/>
    </row>
    <row r="53" spans="2:16" ht="12.75">
      <c r="B53" t="s">
        <v>248</v>
      </c>
      <c r="C53" s="19">
        <v>39</v>
      </c>
      <c r="D53" s="19">
        <v>2052</v>
      </c>
      <c r="F53" s="28"/>
      <c r="G53" s="28"/>
      <c r="H53" s="28">
        <f>costKgasI*Cgas/1000*'Escalation Factors'!M53</f>
        <v>38.572277584843675</v>
      </c>
      <c r="I53" s="28">
        <f>((costOMfixgas*Cgas)/1000+(CFgas*Cgas*8766*costOMvargas/1000000000))*'Escalation Factors'!N53</f>
        <v>74.84563226583701</v>
      </c>
      <c r="J53" s="28">
        <f>(CFgas*Cgas*8766*costFgas*Hgas)/1000000000*'Escalation Factors'!O53</f>
        <v>1678.7082915799188</v>
      </c>
      <c r="N53" s="24"/>
      <c r="O53" s="24"/>
      <c r="P53" s="24"/>
    </row>
    <row r="54" spans="2:16" ht="12.75">
      <c r="B54" t="s">
        <v>249</v>
      </c>
      <c r="C54" s="19">
        <v>40</v>
      </c>
      <c r="D54" s="19">
        <v>2053</v>
      </c>
      <c r="F54" s="28"/>
      <c r="G54" s="28"/>
      <c r="H54" s="28">
        <f>costKgasI*Cgas/1000*'Escalation Factors'!M54</f>
        <v>39.72944591238898</v>
      </c>
      <c r="I54" s="28">
        <f>((costOMfixgas*Cgas)/1000+(CFgas*Cgas*8766*costOMvargas/1000000000))*'Escalation Factors'!N54</f>
        <v>77.86191124615026</v>
      </c>
      <c r="J54" s="28">
        <f>(CFgas*Cgas*8766*costFgas*Hgas)/1000000000*'Escalation Factors'!O54</f>
        <v>1737.714888028953</v>
      </c>
      <c r="N54" s="24"/>
      <c r="O54" s="24"/>
      <c r="P54" s="24"/>
    </row>
    <row r="55" spans="1:11" ht="13.5" thickBot="1">
      <c r="A55" s="9"/>
      <c r="B55" s="43"/>
      <c r="C55" s="75"/>
      <c r="D55" s="75"/>
      <c r="E55" s="9"/>
      <c r="F55" s="9"/>
      <c r="G55" s="9"/>
      <c r="H55" s="79"/>
      <c r="I55" s="9"/>
      <c r="J55" s="9"/>
      <c r="K55" s="9"/>
    </row>
    <row r="57" ht="12.75">
      <c r="B57" s="15" t="s">
        <v>177</v>
      </c>
    </row>
    <row r="58" spans="2:3" ht="12.75">
      <c r="B58" s="15" t="s">
        <v>155</v>
      </c>
      <c r="C58" s="99" t="s">
        <v>562</v>
      </c>
    </row>
    <row r="59" spans="2:3" ht="12.75">
      <c r="B59" s="15" t="s">
        <v>156</v>
      </c>
      <c r="C59" s="99" t="s">
        <v>563</v>
      </c>
    </row>
    <row r="60" spans="2:3" ht="12.75">
      <c r="B60" s="15" t="s">
        <v>157</v>
      </c>
      <c r="C60" s="99" t="s">
        <v>578</v>
      </c>
    </row>
    <row r="61" spans="2:3" ht="12.75">
      <c r="B61" s="15" t="s">
        <v>158</v>
      </c>
      <c r="C61" s="99" t="s">
        <v>565</v>
      </c>
    </row>
    <row r="62" spans="2:3" ht="12.75">
      <c r="B62" s="15" t="s">
        <v>159</v>
      </c>
      <c r="C62" s="99" t="s">
        <v>566</v>
      </c>
    </row>
    <row r="63" spans="2:3" ht="12.75">
      <c r="B63" s="15"/>
      <c r="C63" s="99"/>
    </row>
    <row r="64" ht="12.75">
      <c r="C64" s="32"/>
    </row>
  </sheetData>
  <sheetProtection/>
  <printOptions horizontalCentered="1"/>
  <pageMargins left="0.75" right="0.5" top="1" bottom="1" header="0.5" footer="0.5"/>
  <pageSetup fitToHeight="2" orientation="portrait" r:id="rId1"/>
  <rowBreaks count="1" manualBreakCount="1">
    <brk id="34" max="10" man="1"/>
  </rowBreaks>
</worksheet>
</file>

<file path=xl/worksheets/sheet18.xml><?xml version="1.0" encoding="utf-8"?>
<worksheet xmlns="http://schemas.openxmlformats.org/spreadsheetml/2006/main" xmlns:r="http://schemas.openxmlformats.org/officeDocument/2006/relationships">
  <dimension ref="A1:K113"/>
  <sheetViews>
    <sheetView zoomScalePageLayoutView="0" workbookViewId="0" topLeftCell="A46">
      <selection activeCell="J60" sqref="J60"/>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10" width="11.8515625" style="0" customWidth="1"/>
    <col min="11" max="11" width="2.8515625" style="0" customWidth="1"/>
  </cols>
  <sheetData>
    <row r="1" spans="8:11" ht="12.75">
      <c r="H1" s="20"/>
      <c r="K1" s="20"/>
    </row>
    <row r="2" spans="8:11" ht="12.75">
      <c r="H2" s="20"/>
      <c r="K2" s="20"/>
    </row>
    <row r="3" spans="1:11" ht="16.5" thickBot="1">
      <c r="A3" s="9"/>
      <c r="B3" s="42" t="s">
        <v>353</v>
      </c>
      <c r="C3" s="75"/>
      <c r="D3" s="75"/>
      <c r="E3" s="9"/>
      <c r="F3" s="9"/>
      <c r="G3" s="9"/>
      <c r="H3" s="79"/>
      <c r="I3" s="9"/>
      <c r="J3" s="9"/>
      <c r="K3" s="79"/>
    </row>
    <row r="4" spans="2:11" ht="15.75">
      <c r="B4" s="74"/>
      <c r="H4" s="20"/>
      <c r="K4" s="20"/>
    </row>
    <row r="5" spans="2:11" ht="39">
      <c r="B5" s="74"/>
      <c r="F5" s="22" t="s">
        <v>117</v>
      </c>
      <c r="G5" s="101"/>
      <c r="H5" s="101"/>
      <c r="I5" s="19"/>
      <c r="K5" s="20"/>
    </row>
    <row r="6" spans="2:11" ht="39">
      <c r="B6" s="74"/>
      <c r="C6" s="22" t="s">
        <v>72</v>
      </c>
      <c r="D6" s="22" t="s">
        <v>73</v>
      </c>
      <c r="E6" s="22"/>
      <c r="F6" s="23" t="s">
        <v>114</v>
      </c>
      <c r="G6" s="101" t="s">
        <v>143</v>
      </c>
      <c r="H6" s="23" t="s">
        <v>110</v>
      </c>
      <c r="I6" s="19" t="s">
        <v>115</v>
      </c>
      <c r="J6" s="23" t="s">
        <v>111</v>
      </c>
      <c r="K6" s="20"/>
    </row>
    <row r="7" spans="1:10" s="22" customFormat="1" ht="12.75" customHeight="1">
      <c r="A7" s="37"/>
      <c r="B7" s="74"/>
      <c r="C7" s="80" t="s">
        <v>153</v>
      </c>
      <c r="D7" s="80" t="s">
        <v>154</v>
      </c>
      <c r="E7" s="80"/>
      <c r="F7" s="81" t="s">
        <v>155</v>
      </c>
      <c r="G7" s="103" t="s">
        <v>156</v>
      </c>
      <c r="H7" s="81" t="s">
        <v>157</v>
      </c>
      <c r="I7" s="103" t="s">
        <v>158</v>
      </c>
      <c r="J7" s="81" t="s">
        <v>159</v>
      </c>
    </row>
    <row r="8" spans="1:11" s="22" customFormat="1" ht="12.75" customHeight="1">
      <c r="A8" s="17"/>
      <c r="B8" s="50"/>
      <c r="F8" s="23"/>
      <c r="G8" s="23"/>
      <c r="H8" s="101"/>
      <c r="I8" s="23"/>
      <c r="J8" s="23"/>
      <c r="K8" s="101"/>
    </row>
    <row r="9" spans="6:11" ht="12.75">
      <c r="F9" s="30"/>
      <c r="G9" s="30"/>
      <c r="H9" s="30"/>
      <c r="I9" s="30"/>
      <c r="J9" s="30"/>
      <c r="K9" s="20"/>
    </row>
    <row r="10" spans="2:11" ht="12.75">
      <c r="B10" s="46" t="s">
        <v>160</v>
      </c>
      <c r="C10" s="19">
        <v>-4</v>
      </c>
      <c r="D10" s="19">
        <v>2009</v>
      </c>
      <c r="F10" s="30"/>
      <c r="G10" s="30"/>
      <c r="H10" s="30"/>
      <c r="I10" s="30"/>
      <c r="J10" s="30"/>
      <c r="K10" s="20"/>
    </row>
    <row r="11" spans="2:11" ht="12.75">
      <c r="B11" s="46" t="s">
        <v>161</v>
      </c>
      <c r="C11" s="19">
        <v>-3</v>
      </c>
      <c r="D11" s="19">
        <v>2010</v>
      </c>
      <c r="F11" s="30"/>
      <c r="G11" s="30"/>
      <c r="H11" s="30"/>
      <c r="I11" s="30"/>
      <c r="J11" s="30"/>
      <c r="K11" s="20"/>
    </row>
    <row r="12" spans="2:11" ht="12.75">
      <c r="B12" s="46" t="s">
        <v>162</v>
      </c>
      <c r="C12" s="19">
        <v>-2</v>
      </c>
      <c r="D12" s="19">
        <v>2011</v>
      </c>
      <c r="F12" s="30"/>
      <c r="G12" s="30"/>
      <c r="H12" s="30"/>
      <c r="I12" s="30"/>
      <c r="J12" s="30"/>
      <c r="K12" s="20"/>
    </row>
    <row r="13" spans="2:11" ht="12.75">
      <c r="B13" s="46" t="s">
        <v>163</v>
      </c>
      <c r="C13" s="19">
        <v>-1</v>
      </c>
      <c r="D13" s="19">
        <v>2012</v>
      </c>
      <c r="F13" s="30">
        <f>'Table 10A LCOE Gas cash flow'!F13</f>
        <v>492.6914815774999</v>
      </c>
      <c r="G13" s="30"/>
      <c r="H13" s="30"/>
      <c r="I13" s="30"/>
      <c r="J13" s="30">
        <f aca="true" t="shared" si="0" ref="J13:J54">SUM(F13:I13)</f>
        <v>492.6914815774999</v>
      </c>
      <c r="K13" s="20"/>
    </row>
    <row r="14" spans="2:11" ht="12.75">
      <c r="B14" s="46" t="s">
        <v>164</v>
      </c>
      <c r="C14" s="19">
        <v>0</v>
      </c>
      <c r="D14" s="19">
        <v>2013</v>
      </c>
      <c r="F14" s="30">
        <f>'Table 10A LCOE Gas cash flow'!F14</f>
        <v>507.472226024825</v>
      </c>
      <c r="G14" s="30"/>
      <c r="H14" s="30"/>
      <c r="I14" s="30"/>
      <c r="J14" s="30">
        <f t="shared" si="0"/>
        <v>507.472226024825</v>
      </c>
      <c r="K14" s="20"/>
    </row>
    <row r="15" spans="2:11" ht="12.75">
      <c r="B15" s="46" t="s">
        <v>165</v>
      </c>
      <c r="C15" s="19">
        <v>1</v>
      </c>
      <c r="D15" s="19">
        <v>2014</v>
      </c>
      <c r="F15" s="30">
        <f>-Taxgas*'Table 10A LCOE Gas cash flow'!G15</f>
        <v>-18.50302859064301</v>
      </c>
      <c r="G15" s="30">
        <f>(1-Taxgas)*'Table 10A LCOE Gas cash flow'!H15</f>
        <v>7.903169459220216</v>
      </c>
      <c r="H15" s="30">
        <f>(1-Taxgas)*'Table 10A LCOE Gas cash flow'!I15</f>
        <v>10.507037164364132</v>
      </c>
      <c r="I15" s="30">
        <f>(1-Taxgas)*('Table 10A LCOE Gas cash flow'!J15)</f>
        <v>284.57116998675707</v>
      </c>
      <c r="J15" s="30">
        <f t="shared" si="0"/>
        <v>284.4783480196984</v>
      </c>
      <c r="K15" s="20"/>
    </row>
    <row r="16" spans="2:11" ht="12.75">
      <c r="B16" s="46" t="s">
        <v>166</v>
      </c>
      <c r="C16" s="19">
        <v>2</v>
      </c>
      <c r="D16" s="19">
        <v>2015</v>
      </c>
      <c r="F16" s="30">
        <f>-Taxgas*'Table 10A LCOE Gas cash flow'!G16</f>
        <v>-35.15575432222172</v>
      </c>
      <c r="G16" s="30">
        <f>(1-Taxgas)*'Table 10A LCOE Gas cash flow'!H16</f>
        <v>8.140264542996821</v>
      </c>
      <c r="H16" s="30">
        <f>(1-Taxgas)*'Table 10A LCOE Gas cash flow'!I16</f>
        <v>10.930470762088003</v>
      </c>
      <c r="I16" s="30">
        <f>(1-Taxgas)*('Table 10A LCOE Gas cash flow'!J16)</f>
        <v>294.57384661179157</v>
      </c>
      <c r="J16" s="30">
        <f t="shared" si="0"/>
        <v>278.48882759465465</v>
      </c>
      <c r="K16" s="20"/>
    </row>
    <row r="17" spans="2:11" ht="12.75">
      <c r="B17" s="46" t="s">
        <v>167</v>
      </c>
      <c r="C17" s="19">
        <v>3</v>
      </c>
      <c r="D17" s="19">
        <v>2016</v>
      </c>
      <c r="F17" s="30">
        <f>-Taxgas*'Table 10A LCOE Gas cash flow'!G17</f>
        <v>-31.64017888999955</v>
      </c>
      <c r="G17" s="30">
        <f>(1-Taxgas)*'Table 10A LCOE Gas cash flow'!H17</f>
        <v>8.384472479286726</v>
      </c>
      <c r="H17" s="30">
        <f>(1-Taxgas)*'Table 10A LCOE Gas cash flow'!I17</f>
        <v>11.37096873380015</v>
      </c>
      <c r="I17" s="30">
        <f>(1-Taxgas)*('Table 10A LCOE Gas cash flow'!J17)</f>
        <v>304.928117320196</v>
      </c>
      <c r="J17" s="30">
        <f t="shared" si="0"/>
        <v>293.04337964328334</v>
      </c>
      <c r="K17" s="20"/>
    </row>
    <row r="18" spans="2:11" ht="12.75">
      <c r="B18" s="46" t="s">
        <v>168</v>
      </c>
      <c r="C18" s="19">
        <v>4</v>
      </c>
      <c r="D18" s="19">
        <v>2017</v>
      </c>
      <c r="F18" s="30">
        <f>-Taxgas*'Table 10A LCOE Gas cash flow'!G18</f>
        <v>-28.494664029590233</v>
      </c>
      <c r="G18" s="30">
        <f>(1-Taxgas)*'Table 10A LCOE Gas cash flow'!H18</f>
        <v>8.636006653665326</v>
      </c>
      <c r="H18" s="30">
        <f>(1-Taxgas)*'Table 10A LCOE Gas cash flow'!I18</f>
        <v>11.829218773772299</v>
      </c>
      <c r="I18" s="30">
        <f>(1-Taxgas)*('Table 10A LCOE Gas cash flow'!J18)</f>
        <v>315.6463406440009</v>
      </c>
      <c r="J18" s="30">
        <f t="shared" si="0"/>
        <v>307.6169020418483</v>
      </c>
      <c r="K18" s="20"/>
    </row>
    <row r="19" spans="2:11" ht="12.75">
      <c r="B19" s="46" t="s">
        <v>169</v>
      </c>
      <c r="C19" s="19">
        <v>5</v>
      </c>
      <c r="D19" s="19">
        <v>2018</v>
      </c>
      <c r="F19" s="30">
        <f>-Taxgas*'Table 10A LCOE Gas cash flow'!G19</f>
        <v>-25.64519762663121</v>
      </c>
      <c r="G19" s="30">
        <f>(1-Taxgas)*'Table 10A LCOE Gas cash flow'!H19</f>
        <v>8.895086853275288</v>
      </c>
      <c r="H19" s="30">
        <f>(1-Taxgas)*'Table 10A LCOE Gas cash flow'!I19</f>
        <v>12.305936290355321</v>
      </c>
      <c r="I19" s="30">
        <f>(1-Taxgas)*('Table 10A LCOE Gas cash flow'!J19)</f>
        <v>326.7413095176376</v>
      </c>
      <c r="J19" s="30">
        <f t="shared" si="0"/>
        <v>322.297135034637</v>
      </c>
      <c r="K19" s="20"/>
    </row>
    <row r="20" spans="2:11" ht="12.75">
      <c r="B20" t="s">
        <v>170</v>
      </c>
      <c r="C20" s="19">
        <v>6</v>
      </c>
      <c r="D20" s="19">
        <v>2019</v>
      </c>
      <c r="F20" s="30">
        <f>-Taxgas*'Table 10A LCOE Gas cash flow'!G20</f>
        <v>-23.054773623941188</v>
      </c>
      <c r="G20" s="30">
        <f>(1-Taxgas)*'Table 10A LCOE Gas cash flow'!H20</f>
        <v>9.161939458873544</v>
      </c>
      <c r="H20" s="30">
        <f>(1-Taxgas)*'Table 10A LCOE Gas cash flow'!I20</f>
        <v>12.80186552285664</v>
      </c>
      <c r="I20" s="30">
        <f>(1-Taxgas)*('Table 10A LCOE Gas cash flow'!J20)</f>
        <v>338.22626654718255</v>
      </c>
      <c r="J20" s="30">
        <f t="shared" si="0"/>
        <v>337.13529790497154</v>
      </c>
      <c r="K20" s="20"/>
    </row>
    <row r="21" spans="2:11" ht="12.75">
      <c r="B21" t="s">
        <v>171</v>
      </c>
      <c r="C21" s="19">
        <v>7</v>
      </c>
      <c r="D21" s="19">
        <v>2020</v>
      </c>
      <c r="F21" s="30">
        <f>-Taxgas*'Table 10A LCOE Gas cash flow'!G21</f>
        <v>-21.83357373695875</v>
      </c>
      <c r="G21" s="30">
        <f>(1-Taxgas)*'Table 10A LCOE Gas cash flow'!H21</f>
        <v>9.43679764263975</v>
      </c>
      <c r="H21" s="30">
        <f>(1-Taxgas)*'Table 10A LCOE Gas cash flow'!I21</f>
        <v>13.317780703427761</v>
      </c>
      <c r="I21" s="30">
        <f>(1-Taxgas)*('Table 10A LCOE Gas cash flow'!J21)</f>
        <v>350.114919816316</v>
      </c>
      <c r="J21" s="30">
        <f t="shared" si="0"/>
        <v>351.03592442542475</v>
      </c>
      <c r="K21" s="20"/>
    </row>
    <row r="22" spans="2:11" ht="12.75">
      <c r="B22" t="s">
        <v>174</v>
      </c>
      <c r="C22" s="19">
        <v>8</v>
      </c>
      <c r="D22" s="19">
        <v>2021</v>
      </c>
      <c r="F22" s="30">
        <f>-Taxgas*'Table 10A LCOE Gas cash flow'!G22</f>
        <v>-21.83357373695875</v>
      </c>
      <c r="G22" s="30">
        <f>(1-Taxgas)*'Table 10A LCOE Gas cash flow'!H22</f>
        <v>9.719901571918944</v>
      </c>
      <c r="H22" s="30">
        <f>(1-Taxgas)*'Table 10A LCOE Gas cash flow'!I22</f>
        <v>13.854487265775902</v>
      </c>
      <c r="I22" s="30">
        <f>(1-Taxgas)*('Table 10A LCOE Gas cash flow'!J22)</f>
        <v>362.42145924785956</v>
      </c>
      <c r="J22" s="30">
        <f t="shared" si="0"/>
        <v>364.16227434859564</v>
      </c>
      <c r="K22" s="20"/>
    </row>
    <row r="23" spans="2:11" ht="12.75">
      <c r="B23" t="s">
        <v>174</v>
      </c>
      <c r="C23" s="19">
        <v>9</v>
      </c>
      <c r="D23" s="19">
        <v>2022</v>
      </c>
      <c r="F23" s="30">
        <f>-Taxgas*'Table 10A LCOE Gas cash flow'!G23</f>
        <v>-21.87057979414004</v>
      </c>
      <c r="G23" s="30">
        <f>(1-Taxgas)*'Table 10A LCOE Gas cash flow'!H23</f>
        <v>10.011498619076514</v>
      </c>
      <c r="H23" s="30">
        <f>(1-Taxgas)*'Table 10A LCOE Gas cash flow'!I23</f>
        <v>14.412823102586668</v>
      </c>
      <c r="I23" s="30">
        <f>(1-Taxgas)*('Table 10A LCOE Gas cash flow'!J23)</f>
        <v>375.16057354042186</v>
      </c>
      <c r="J23" s="30">
        <f t="shared" si="0"/>
        <v>377.714315467945</v>
      </c>
      <c r="K23" s="20"/>
    </row>
    <row r="24" spans="2:11" ht="12.75">
      <c r="B24" t="s">
        <v>124</v>
      </c>
      <c r="C24" s="19">
        <v>10</v>
      </c>
      <c r="D24" s="19">
        <v>2023</v>
      </c>
      <c r="F24" s="30">
        <f>-Taxgas*'Table 10A LCOE Gas cash flow'!G24</f>
        <v>-21.83357373695875</v>
      </c>
      <c r="G24" s="30">
        <f>(1-Taxgas)*'Table 10A LCOE Gas cash flow'!H24</f>
        <v>10.311843577648807</v>
      </c>
      <c r="H24" s="30">
        <f>(1-Taxgas)*'Table 10A LCOE Gas cash flow'!I24</f>
        <v>14.993659873620912</v>
      </c>
      <c r="I24" s="30">
        <f>(1-Taxgas)*('Table 10A LCOE Gas cash flow'!J24)</f>
        <v>388.34746770036764</v>
      </c>
      <c r="J24" s="30">
        <f t="shared" si="0"/>
        <v>391.81939741467863</v>
      </c>
      <c r="K24" s="20"/>
    </row>
    <row r="25" spans="2:11" ht="12.75">
      <c r="B25" t="s">
        <v>221</v>
      </c>
      <c r="C25" s="19">
        <v>11</v>
      </c>
      <c r="D25" s="19">
        <v>2024</v>
      </c>
      <c r="F25" s="30">
        <f>-Taxgas*'Table 10A LCOE Gas cash flow'!G25</f>
        <v>-21.87057979414004</v>
      </c>
      <c r="G25" s="30">
        <f>(1-Taxgas)*'Table 10A LCOE Gas cash flow'!H25</f>
        <v>10.621198884978272</v>
      </c>
      <c r="H25" s="30">
        <f>(1-Taxgas)*'Table 10A LCOE Gas cash flow'!I25</f>
        <v>15.597904366527835</v>
      </c>
      <c r="I25" s="30">
        <f>(1-Taxgas)*('Table 10A LCOE Gas cash flow'!J25)</f>
        <v>401.99788119003557</v>
      </c>
      <c r="J25" s="30">
        <f t="shared" si="0"/>
        <v>406.34640464740164</v>
      </c>
      <c r="K25" s="20"/>
    </row>
    <row r="26" spans="2:11" ht="12.75">
      <c r="B26" t="s">
        <v>251</v>
      </c>
      <c r="C26" s="19">
        <v>12</v>
      </c>
      <c r="D26" s="19">
        <v>2025</v>
      </c>
      <c r="F26" s="30">
        <f>-Taxgas*'Table 10A LCOE Gas cash flow'!G26</f>
        <v>-21.83357373695875</v>
      </c>
      <c r="G26" s="30">
        <f>(1-Taxgas)*'Table 10A LCOE Gas cash flow'!H26</f>
        <v>10.93983485152762</v>
      </c>
      <c r="H26" s="30">
        <f>(1-Taxgas)*'Table 10A LCOE Gas cash flow'!I26</f>
        <v>16.226499912498905</v>
      </c>
      <c r="I26" s="30">
        <f>(1-Taxgas)*('Table 10A LCOE Gas cash flow'!J26)</f>
        <v>416.12810671386535</v>
      </c>
      <c r="J26" s="30">
        <f t="shared" si="0"/>
        <v>421.4608677409331</v>
      </c>
      <c r="K26" s="20"/>
    </row>
    <row r="27" spans="2:11" ht="12.75">
      <c r="B27" t="s">
        <v>252</v>
      </c>
      <c r="C27" s="19">
        <v>13</v>
      </c>
      <c r="D27" s="19">
        <v>2026</v>
      </c>
      <c r="F27" s="30">
        <f>-Taxgas*'Table 10A LCOE Gas cash flow'!G27</f>
        <v>-21.87057979414004</v>
      </c>
      <c r="G27" s="30">
        <f>(1-Taxgas)*'Table 10A LCOE Gas cash flow'!H27</f>
        <v>11.268029897073447</v>
      </c>
      <c r="H27" s="30">
        <f>(1-Taxgas)*'Table 10A LCOE Gas cash flow'!I27</f>
        <v>16.880427858972613</v>
      </c>
      <c r="I27" s="30">
        <f>(1-Taxgas)*('Table 10A LCOE Gas cash flow'!J27)</f>
        <v>430.7550096648577</v>
      </c>
      <c r="J27" s="30">
        <f t="shared" si="0"/>
        <v>437.03288762676374</v>
      </c>
      <c r="K27" s="20"/>
    </row>
    <row r="28" spans="2:11" ht="12.75">
      <c r="B28" t="s">
        <v>256</v>
      </c>
      <c r="C28" s="19">
        <v>14</v>
      </c>
      <c r="D28" s="19">
        <v>2027</v>
      </c>
      <c r="F28" s="30">
        <f>-Taxgas*'Table 10A LCOE Gas cash flow'!G28</f>
        <v>-21.83357373695875</v>
      </c>
      <c r="G28" s="30">
        <f>(1-Taxgas)*'Table 10A LCOE Gas cash flow'!H28</f>
        <v>11.60607079398565</v>
      </c>
      <c r="H28" s="30">
        <f>(1-Taxgas)*'Table 10A LCOE Gas cash flow'!I28</f>
        <v>17.560709101689206</v>
      </c>
      <c r="I28" s="30">
        <f>(1-Taxgas)*('Table 10A LCOE Gas cash flow'!J28)</f>
        <v>445.8960482545774</v>
      </c>
      <c r="J28" s="30">
        <f t="shared" si="0"/>
        <v>453.2292544132935</v>
      </c>
      <c r="K28" s="20"/>
    </row>
    <row r="29" spans="2:11" ht="12.75">
      <c r="B29" t="s">
        <v>257</v>
      </c>
      <c r="C29" s="19">
        <v>15</v>
      </c>
      <c r="D29" s="19">
        <v>2028</v>
      </c>
      <c r="F29" s="30">
        <f>-Taxgas*'Table 10A LCOE Gas cash flow'!G29</f>
        <v>-21.87057979414004</v>
      </c>
      <c r="G29" s="30">
        <f>(1-Taxgas)*'Table 10A LCOE Gas cash flow'!H29</f>
        <v>11.95425291780522</v>
      </c>
      <c r="H29" s="30">
        <f>(1-Taxgas)*'Table 10A LCOE Gas cash flow'!I29</f>
        <v>18.268405678487284</v>
      </c>
      <c r="I29" s="30">
        <f>(1-Taxgas)*('Table 10A LCOE Gas cash flow'!J29)</f>
        <v>461.56929435072584</v>
      </c>
      <c r="J29" s="30">
        <f t="shared" si="0"/>
        <v>469.9213731528783</v>
      </c>
      <c r="K29" s="20"/>
    </row>
    <row r="30" spans="2:11" ht="12.75">
      <c r="B30" t="s">
        <v>258</v>
      </c>
      <c r="C30" s="19">
        <v>16</v>
      </c>
      <c r="D30" s="19">
        <v>2029</v>
      </c>
      <c r="F30" s="30">
        <f>-Taxgas*'Table 10A LCOE Gas cash flow'!G30</f>
        <v>-10.916786868479376</v>
      </c>
      <c r="G30" s="30">
        <f>(1-Taxgas)*'Table 10A LCOE Gas cash flow'!H30</f>
        <v>12.312880505339376</v>
      </c>
      <c r="H30" s="30">
        <f>(1-Taxgas)*'Table 10A LCOE Gas cash flow'!I30</f>
        <v>19.004622427330318</v>
      </c>
      <c r="I30" s="30">
        <f>(1-Taxgas)*('Table 10A LCOE Gas cash flow'!J30)</f>
        <v>477.7934550471538</v>
      </c>
      <c r="J30" s="30">
        <f t="shared" si="0"/>
        <v>498.19417111134413</v>
      </c>
      <c r="K30" s="20"/>
    </row>
    <row r="31" spans="2:11" ht="12.75">
      <c r="B31" t="s">
        <v>226</v>
      </c>
      <c r="C31" s="19">
        <v>17</v>
      </c>
      <c r="D31" s="19">
        <v>2030</v>
      </c>
      <c r="F31" s="30"/>
      <c r="G31" s="30">
        <f>(1-Taxgas)*'Table 10A LCOE Gas cash flow'!H31</f>
        <v>12.68226692049956</v>
      </c>
      <c r="H31" s="30">
        <f>(1-Taxgas)*'Table 10A LCOE Gas cash flow'!I31</f>
        <v>19.77050871115173</v>
      </c>
      <c r="I31" s="30">
        <f>(1-Taxgas)*('Table 10A LCOE Gas cash flow'!J31)</f>
        <v>494.58789499206136</v>
      </c>
      <c r="J31" s="30">
        <f t="shared" si="0"/>
        <v>527.0406706237127</v>
      </c>
      <c r="K31" s="20"/>
    </row>
    <row r="32" spans="2:11" ht="12.75">
      <c r="B32" t="s">
        <v>227</v>
      </c>
      <c r="C32" s="19">
        <v>18</v>
      </c>
      <c r="D32" s="19">
        <v>2031</v>
      </c>
      <c r="F32" s="30"/>
      <c r="G32" s="30">
        <f>(1-Taxgas)*'Table 10A LCOE Gas cash flow'!H32</f>
        <v>13.062734928114542</v>
      </c>
      <c r="H32" s="30">
        <f>(1-Taxgas)*'Table 10A LCOE Gas cash flow'!I32</f>
        <v>20.567260212211142</v>
      </c>
      <c r="I32" s="30">
        <f>(1-Taxgas)*('Table 10A LCOE Gas cash flow'!J32)</f>
        <v>511.9726595010323</v>
      </c>
      <c r="J32" s="30">
        <f t="shared" si="0"/>
        <v>545.602654641358</v>
      </c>
      <c r="K32" s="20"/>
    </row>
    <row r="33" spans="2:11" ht="12.75">
      <c r="B33" t="s">
        <v>228</v>
      </c>
      <c r="C33" s="19">
        <v>19</v>
      </c>
      <c r="D33" s="19">
        <v>2032</v>
      </c>
      <c r="F33" s="30"/>
      <c r="G33" s="30">
        <f>(1-Taxgas)*'Table 10A LCOE Gas cash flow'!H33</f>
        <v>13.454616975957979</v>
      </c>
      <c r="H33" s="30">
        <f>(1-Taxgas)*'Table 10A LCOE Gas cash flow'!I33</f>
        <v>21.39612079876325</v>
      </c>
      <c r="I33" s="30">
        <f>(1-Taxgas)*('Table 10A LCOE Gas cash flow'!J33)</f>
        <v>529.9684984824936</v>
      </c>
      <c r="J33" s="30">
        <f t="shared" si="0"/>
        <v>564.8192362572148</v>
      </c>
      <c r="K33" s="20"/>
    </row>
    <row r="34" spans="2:11" ht="12.75">
      <c r="B34" t="s">
        <v>229</v>
      </c>
      <c r="C34" s="19">
        <v>20</v>
      </c>
      <c r="D34" s="19">
        <v>2033</v>
      </c>
      <c r="F34" s="30"/>
      <c r="G34" s="30">
        <f>(1-Taxgas)*'Table 10A LCOE Gas cash flow'!H34</f>
        <v>13.85825548523672</v>
      </c>
      <c r="H34" s="30">
        <f>(1-Taxgas)*'Table 10A LCOE Gas cash flow'!I34</f>
        <v>22.25838446695341</v>
      </c>
      <c r="I34" s="30">
        <f>(1-Taxgas)*('Table 10A LCOE Gas cash flow'!J34)</f>
        <v>548.5968912041532</v>
      </c>
      <c r="J34" s="30">
        <f t="shared" si="0"/>
        <v>584.7135311563433</v>
      </c>
      <c r="K34" s="20"/>
    </row>
    <row r="35" spans="2:11" ht="12.75">
      <c r="B35" t="s">
        <v>230</v>
      </c>
      <c r="C35" s="19">
        <v>21</v>
      </c>
      <c r="D35" s="19">
        <v>2034</v>
      </c>
      <c r="F35" s="30"/>
      <c r="G35" s="30">
        <f>(1-Taxgas)*'Table 10A LCOE Gas cash flow'!H35</f>
        <v>14.27400314979382</v>
      </c>
      <c r="H35" s="30">
        <f>(1-Taxgas)*'Table 10A LCOE Gas cash flow'!I35</f>
        <v>23.155397360971634</v>
      </c>
      <c r="I35" s="30">
        <f>(1-Taxgas)*('Table 10A LCOE Gas cash flow'!J35)</f>
        <v>567.8800719299794</v>
      </c>
      <c r="J35" s="30">
        <f t="shared" si="0"/>
        <v>605.3094724407449</v>
      </c>
      <c r="K35" s="20"/>
    </row>
    <row r="36" spans="2:11" ht="12.75">
      <c r="B36" t="s">
        <v>231</v>
      </c>
      <c r="C36" s="19">
        <v>22</v>
      </c>
      <c r="D36" s="19">
        <v>2035</v>
      </c>
      <c r="F36" s="30"/>
      <c r="G36" s="30">
        <f>(1-Taxgas)*'Table 10A LCOE Gas cash flow'!H36</f>
        <v>14.702223244287635</v>
      </c>
      <c r="H36" s="30">
        <f>(1-Taxgas)*'Table 10A LCOE Gas cash flow'!I36</f>
        <v>24.088559874618785</v>
      </c>
      <c r="I36" s="30">
        <f>(1-Taxgas)*('Table 10A LCOE Gas cash flow'!J36)</f>
        <v>587.8410564583181</v>
      </c>
      <c r="J36" s="30">
        <f t="shared" si="0"/>
        <v>626.6318395772246</v>
      </c>
      <c r="K36" s="20"/>
    </row>
    <row r="37" spans="2:11" ht="12.75">
      <c r="B37" t="s">
        <v>232</v>
      </c>
      <c r="C37" s="19">
        <v>23</v>
      </c>
      <c r="D37" s="19">
        <v>2036</v>
      </c>
      <c r="F37" s="30"/>
      <c r="G37" s="30">
        <f>(1-Taxgas)*'Table 10A LCOE Gas cash flow'!H37</f>
        <v>15.143289941616262</v>
      </c>
      <c r="H37" s="30">
        <f>(1-Taxgas)*'Table 10A LCOE Gas cash flow'!I37</f>
        <v>25.059328837565925</v>
      </c>
      <c r="I37" s="30">
        <f>(1-Taxgas)*('Table 10A LCOE Gas cash flow'!J37)</f>
        <v>608.5036695928279</v>
      </c>
      <c r="J37" s="30">
        <f t="shared" si="0"/>
        <v>648.7062883720101</v>
      </c>
      <c r="K37" s="20"/>
    </row>
    <row r="38" spans="2:11" ht="12.75">
      <c r="B38" t="s">
        <v>233</v>
      </c>
      <c r="C38" s="19">
        <v>24</v>
      </c>
      <c r="D38" s="19">
        <v>2037</v>
      </c>
      <c r="F38" s="30"/>
      <c r="G38" s="30">
        <f>(1-Taxgas)*'Table 10A LCOE Gas cash flow'!H38</f>
        <v>15.597588639864751</v>
      </c>
      <c r="H38" s="30">
        <f>(1-Taxgas)*'Table 10A LCOE Gas cash flow'!I38</f>
        <v>26.06921978971983</v>
      </c>
      <c r="I38" s="30">
        <f>(1-Taxgas)*('Table 10A LCOE Gas cash flow'!J38)</f>
        <v>629.8925735790159</v>
      </c>
      <c r="J38" s="30">
        <f t="shared" si="0"/>
        <v>671.5593820086004</v>
      </c>
      <c r="K38" s="20"/>
    </row>
    <row r="39" spans="2:11" ht="12.75">
      <c r="B39" t="s">
        <v>234</v>
      </c>
      <c r="C39" s="19">
        <v>25</v>
      </c>
      <c r="D39" s="19">
        <v>2038</v>
      </c>
      <c r="F39" s="30"/>
      <c r="G39" s="30">
        <f>(1-Taxgas)*'Table 10A LCOE Gas cash flow'!H39</f>
        <v>16.065516299060697</v>
      </c>
      <c r="H39" s="30">
        <f>(1-Taxgas)*'Table 10A LCOE Gas cash flow'!I39</f>
        <v>27.11980934724554</v>
      </c>
      <c r="I39" s="30">
        <f>(1-Taxgas)*('Table 10A LCOE Gas cash flow'!J39)</f>
        <v>652.0332975403184</v>
      </c>
      <c r="J39" s="30">
        <f t="shared" si="0"/>
        <v>695.2186231866247</v>
      </c>
      <c r="K39" s="20"/>
    </row>
    <row r="40" spans="2:11" ht="12.75">
      <c r="B40" t="s">
        <v>235</v>
      </c>
      <c r="C40" s="19">
        <v>26</v>
      </c>
      <c r="D40" s="19">
        <v>2039</v>
      </c>
      <c r="F40" s="30"/>
      <c r="G40" s="30">
        <f>(1-Taxgas)*'Table 10A LCOE Gas cash flow'!H40</f>
        <v>16.547481788032513</v>
      </c>
      <c r="H40" s="30">
        <f>(1-Taxgas)*'Table 10A LCOE Gas cash flow'!I40</f>
        <v>28.21273766393953</v>
      </c>
      <c r="I40" s="30">
        <f>(1-Taxgas)*('Table 10A LCOE Gas cash flow'!J40)</f>
        <v>674.9522679488605</v>
      </c>
      <c r="J40" s="30">
        <f t="shared" si="0"/>
        <v>719.7124874008325</v>
      </c>
      <c r="K40" s="20"/>
    </row>
    <row r="41" spans="2:11" ht="12.75">
      <c r="B41" t="s">
        <v>236</v>
      </c>
      <c r="C41" s="19">
        <v>27</v>
      </c>
      <c r="D41" s="19">
        <v>2040</v>
      </c>
      <c r="F41" s="30"/>
      <c r="G41" s="30">
        <f>(1-Taxgas)*'Table 10A LCOE Gas cash flow'!H41</f>
        <v>17.04390624167349</v>
      </c>
      <c r="H41" s="30">
        <f>(1-Taxgas)*'Table 10A LCOE Gas cash flow'!I41</f>
        <v>29.349710991796297</v>
      </c>
      <c r="I41" s="30">
        <f>(1-Taxgas)*('Table 10A LCOE Gas cash flow'!J41)</f>
        <v>698.676840167263</v>
      </c>
      <c r="J41" s="30">
        <f t="shared" si="0"/>
        <v>745.0704574007327</v>
      </c>
      <c r="K41" s="20"/>
    </row>
    <row r="42" spans="2:11" ht="12.75">
      <c r="B42" t="s">
        <v>237</v>
      </c>
      <c r="C42" s="19">
        <v>28</v>
      </c>
      <c r="D42" s="19">
        <v>2041</v>
      </c>
      <c r="F42" s="30"/>
      <c r="G42" s="30">
        <f>(1-Taxgas)*'Table 10A LCOE Gas cash flow'!H42</f>
        <v>17.555223428923693</v>
      </c>
      <c r="H42" s="30">
        <f>(1-Taxgas)*'Table 10A LCOE Gas cash flow'!I42</f>
        <v>30.532504344765687</v>
      </c>
      <c r="I42" s="30">
        <f>(1-Taxgas)*('Table 10A LCOE Gas cash flow'!J42)</f>
        <v>723.2353310991423</v>
      </c>
      <c r="J42" s="30">
        <f t="shared" si="0"/>
        <v>771.3230588728317</v>
      </c>
      <c r="K42" s="20"/>
    </row>
    <row r="43" spans="2:11" ht="12.75">
      <c r="B43" t="s">
        <v>238</v>
      </c>
      <c r="C43" s="19">
        <v>29</v>
      </c>
      <c r="D43" s="19">
        <v>2042</v>
      </c>
      <c r="F43" s="30"/>
      <c r="G43" s="30">
        <f>(1-Taxgas)*'Table 10A LCOE Gas cash flow'!H43</f>
        <v>18.081880131791404</v>
      </c>
      <c r="H43" s="30">
        <f>(1-Taxgas)*'Table 10A LCOE Gas cash flow'!I43</f>
        <v>31.762964269859747</v>
      </c>
      <c r="I43" s="30">
        <f>(1-Taxgas)*('Table 10A LCOE Gas cash flow'!J43)</f>
        <v>748.6570529872771</v>
      </c>
      <c r="J43" s="30">
        <f t="shared" si="0"/>
        <v>798.5018973889282</v>
      </c>
      <c r="K43" s="20"/>
    </row>
    <row r="44" spans="2:11" ht="12.75">
      <c r="B44" t="s">
        <v>239</v>
      </c>
      <c r="C44" s="19">
        <v>30</v>
      </c>
      <c r="D44" s="19">
        <v>2043</v>
      </c>
      <c r="F44" s="30"/>
      <c r="G44" s="30">
        <f>(1-Taxgas)*'Table 10A LCOE Gas cash flow'!H44</f>
        <v>18.624336535745147</v>
      </c>
      <c r="H44" s="30">
        <f>(1-Taxgas)*'Table 10A LCOE Gas cash flow'!I44</f>
        <v>33.04301172993509</v>
      </c>
      <c r="I44" s="30">
        <f>(1-Taxgas)*('Table 10A LCOE Gas cash flow'!J44)</f>
        <v>774.97234839978</v>
      </c>
      <c r="J44" s="30">
        <f t="shared" si="0"/>
        <v>826.6396966654602</v>
      </c>
      <c r="K44" s="20"/>
    </row>
    <row r="45" spans="2:11" ht="12.75">
      <c r="B45" t="s">
        <v>240</v>
      </c>
      <c r="C45" s="19">
        <v>31</v>
      </c>
      <c r="D45" s="19">
        <v>2044</v>
      </c>
      <c r="F45" s="30"/>
      <c r="G45" s="30">
        <f>(1-Taxgas)*'Table 10A LCOE Gas cash flow'!H45</f>
        <v>19.1830666318175</v>
      </c>
      <c r="H45" s="30">
        <f>(1-Taxgas)*'Table 10A LCOE Gas cash flow'!I45</f>
        <v>34.37464510265147</v>
      </c>
      <c r="I45" s="30">
        <f>(1-Taxgas)*('Table 10A LCOE Gas cash flow'!J45)</f>
        <v>802.2126264460321</v>
      </c>
      <c r="J45" s="30">
        <f t="shared" si="0"/>
        <v>855.7703381805011</v>
      </c>
      <c r="K45" s="20"/>
    </row>
    <row r="46" spans="2:11" ht="12.75">
      <c r="B46" t="s">
        <v>241</v>
      </c>
      <c r="C46" s="19">
        <v>32</v>
      </c>
      <c r="D46" s="19">
        <v>2045</v>
      </c>
      <c r="F46" s="30"/>
      <c r="G46" s="30">
        <f>(1-Taxgas)*'Table 10A LCOE Gas cash flow'!H46</f>
        <v>19.758558630772026</v>
      </c>
      <c r="H46" s="30">
        <f>(1-Taxgas)*'Table 10A LCOE Gas cash flow'!I46</f>
        <v>35.75994330028833</v>
      </c>
      <c r="I46" s="30">
        <f>(1-Taxgas)*('Table 10A LCOE Gas cash flow'!J46)</f>
        <v>830.4104002656103</v>
      </c>
      <c r="J46" s="30">
        <f t="shared" si="0"/>
        <v>885.9289021966706</v>
      </c>
      <c r="K46" s="20"/>
    </row>
    <row r="47" spans="2:11" ht="12.75">
      <c r="B47" t="s">
        <v>242</v>
      </c>
      <c r="C47" s="19">
        <v>33</v>
      </c>
      <c r="D47" s="19">
        <v>2046</v>
      </c>
      <c r="F47" s="30"/>
      <c r="G47" s="30">
        <f>(1-Taxgas)*'Table 10A LCOE Gas cash flow'!H47</f>
        <v>20.351315389695188</v>
      </c>
      <c r="H47" s="30">
        <f>(1-Taxgas)*'Table 10A LCOE Gas cash flow'!I47</f>
        <v>37.201069015289946</v>
      </c>
      <c r="I47" s="30">
        <f>(1-Taxgas)*('Table 10A LCOE Gas cash flow'!J47)</f>
        <v>859.5993258349466</v>
      </c>
      <c r="J47" s="30">
        <f t="shared" si="0"/>
        <v>917.1517102399317</v>
      </c>
      <c r="K47" s="20"/>
    </row>
    <row r="48" spans="2:11" ht="12.75">
      <c r="B48" t="s">
        <v>243</v>
      </c>
      <c r="C48" s="19">
        <v>34</v>
      </c>
      <c r="D48" s="19">
        <v>2047</v>
      </c>
      <c r="F48" s="30"/>
      <c r="G48" s="30">
        <f>(1-Taxgas)*'Table 10A LCOE Gas cash flow'!H48</f>
        <v>20.96185485138604</v>
      </c>
      <c r="H48" s="30">
        <f>(1-Taxgas)*'Table 10A LCOE Gas cash flow'!I48</f>
        <v>38.700272096606135</v>
      </c>
      <c r="I48" s="30">
        <f>(1-Taxgas)*('Table 10A LCOE Gas cash flow'!J48)</f>
        <v>889.8142421380448</v>
      </c>
      <c r="J48" s="30">
        <f t="shared" si="0"/>
        <v>949.476369086037</v>
      </c>
      <c r="K48" s="20"/>
    </row>
    <row r="49" spans="2:11" ht="12.75">
      <c r="B49" t="s">
        <v>244</v>
      </c>
      <c r="C49" s="19">
        <v>35</v>
      </c>
      <c r="D49" s="19">
        <v>2048</v>
      </c>
      <c r="F49" s="30"/>
      <c r="G49" s="30">
        <f>(1-Taxgas)*'Table 10A LCOE Gas cash flow'!H49</f>
        <v>21.590710496927624</v>
      </c>
      <c r="H49" s="30">
        <f>(1-Taxgas)*'Table 10A LCOE Gas cash flow'!I49</f>
        <v>40.25989306209935</v>
      </c>
      <c r="I49" s="30">
        <f>(1-Taxgas)*('Table 10A LCOE Gas cash flow'!J49)</f>
        <v>921.0912127491971</v>
      </c>
      <c r="J49" s="30">
        <f t="shared" si="0"/>
        <v>982.9418163082241</v>
      </c>
      <c r="K49" s="20"/>
    </row>
    <row r="50" spans="2:11" ht="12.75">
      <c r="B50" t="s">
        <v>245</v>
      </c>
      <c r="C50" s="19">
        <v>36</v>
      </c>
      <c r="D50" s="19">
        <v>2049</v>
      </c>
      <c r="F50" s="30"/>
      <c r="G50" s="30">
        <f>(1-Taxgas)*'Table 10A LCOE Gas cash flow'!H50</f>
        <v>22.23843181183545</v>
      </c>
      <c r="H50" s="30">
        <f>(1-Taxgas)*'Table 10A LCOE Gas cash flow'!I50</f>
        <v>41.88236675250196</v>
      </c>
      <c r="I50" s="30">
        <f>(1-Taxgas)*('Table 10A LCOE Gas cash flow'!J50)</f>
        <v>953.4675688773315</v>
      </c>
      <c r="J50" s="30">
        <f t="shared" si="0"/>
        <v>1017.5883674416689</v>
      </c>
      <c r="K50" s="20"/>
    </row>
    <row r="51" spans="2:11" ht="12.75">
      <c r="B51" t="s">
        <v>246</v>
      </c>
      <c r="C51" s="19">
        <v>37</v>
      </c>
      <c r="D51" s="19">
        <v>2050</v>
      </c>
      <c r="F51" s="30"/>
      <c r="G51" s="30">
        <f>(1-Taxgas)*'Table 10A LCOE Gas cash flow'!H51</f>
        <v>22.90558476619051</v>
      </c>
      <c r="H51" s="30">
        <f>(1-Taxgas)*'Table 10A LCOE Gas cash flow'!I51</f>
        <v>43.57022613262779</v>
      </c>
      <c r="I51" s="30">
        <f>(1-Taxgas)*('Table 10A LCOE Gas cash flow'!J51)</f>
        <v>986.9819539233697</v>
      </c>
      <c r="J51" s="30">
        <f t="shared" si="0"/>
        <v>1053.457764822188</v>
      </c>
      <c r="K51" s="20"/>
    </row>
    <row r="52" spans="2:11" ht="12.75">
      <c r="B52" t="s">
        <v>247</v>
      </c>
      <c r="C52" s="19">
        <v>38</v>
      </c>
      <c r="D52" s="19">
        <v>2051</v>
      </c>
      <c r="F52" s="30"/>
      <c r="G52" s="30">
        <f>(1-Taxgas)*'Table 10A LCOE Gas cash flow'!H52</f>
        <v>23.592752309176227</v>
      </c>
      <c r="H52" s="30">
        <f>(1-Taxgas)*'Table 10A LCOE Gas cash flow'!I52</f>
        <v>45.32610624577268</v>
      </c>
      <c r="I52" s="30">
        <f>(1-Taxgas)*('Table 10A LCOE Gas cash flow'!J52)</f>
        <v>1021.6743696037762</v>
      </c>
      <c r="J52" s="30">
        <f t="shared" si="0"/>
        <v>1090.5932281587252</v>
      </c>
      <c r="K52" s="20"/>
    </row>
    <row r="53" spans="2:11" ht="12.75">
      <c r="B53" t="s">
        <v>248</v>
      </c>
      <c r="C53" s="19">
        <v>39</v>
      </c>
      <c r="D53" s="19">
        <v>2052</v>
      </c>
      <c r="F53" s="30"/>
      <c r="G53" s="30">
        <f>(1-Taxgas)*'Table 10A LCOE Gas cash flow'!H53</f>
        <v>24.300534878451515</v>
      </c>
      <c r="H53" s="30">
        <f>(1-Taxgas)*'Table 10A LCOE Gas cash flow'!I53</f>
        <v>47.15274832747732</v>
      </c>
      <c r="I53" s="30">
        <f>(1-Taxgas)*('Table 10A LCOE Gas cash flow'!J53)</f>
        <v>1057.5862236953487</v>
      </c>
      <c r="J53" s="30">
        <f t="shared" si="0"/>
        <v>1129.0395069012775</v>
      </c>
      <c r="K53" s="20"/>
    </row>
    <row r="54" spans="2:11" ht="12.75">
      <c r="B54" t="s">
        <v>249</v>
      </c>
      <c r="C54" s="19">
        <v>40</v>
      </c>
      <c r="D54" s="19">
        <v>2053</v>
      </c>
      <c r="F54" s="30"/>
      <c r="G54" s="30">
        <f>(1-Taxgas)*'Table 10A LCOE Gas cash flow'!H54</f>
        <v>25.029550924805058</v>
      </c>
      <c r="H54" s="30">
        <f>(1-Taxgas)*'Table 10A LCOE Gas cash flow'!I54</f>
        <v>49.05300408507466</v>
      </c>
      <c r="I54" s="30">
        <f>(1-Taxgas)*('Table 10A LCOE Gas cash flow'!J54)</f>
        <v>1094.7603794582403</v>
      </c>
      <c r="J54" s="30">
        <f t="shared" si="0"/>
        <v>1168.8429344681201</v>
      </c>
      <c r="K54" s="20"/>
    </row>
    <row r="55" spans="1:11" ht="13.5" thickBot="1">
      <c r="A55" s="9"/>
      <c r="B55" s="43"/>
      <c r="C55" s="75"/>
      <c r="D55" s="75"/>
      <c r="E55" s="9"/>
      <c r="F55" s="9"/>
      <c r="G55" s="9"/>
      <c r="H55" s="9"/>
      <c r="I55" s="9"/>
      <c r="J55" s="9"/>
      <c r="K55" s="9"/>
    </row>
    <row r="57" spans="1:4" ht="12.75">
      <c r="A57"/>
      <c r="B57" s="15" t="s">
        <v>177</v>
      </c>
      <c r="C57" s="100"/>
      <c r="D57"/>
    </row>
    <row r="58" spans="1:4" ht="12.75">
      <c r="A58"/>
      <c r="B58" s="15" t="s">
        <v>155</v>
      </c>
      <c r="C58" s="99" t="s">
        <v>583</v>
      </c>
      <c r="D58"/>
    </row>
    <row r="59" spans="1:4" ht="12.75">
      <c r="A59"/>
      <c r="B59" s="15" t="s">
        <v>156</v>
      </c>
      <c r="C59" s="99" t="s">
        <v>584</v>
      </c>
      <c r="D59"/>
    </row>
    <row r="60" spans="1:4" ht="12.75">
      <c r="A60"/>
      <c r="B60" s="15" t="s">
        <v>157</v>
      </c>
      <c r="C60" s="99" t="s">
        <v>585</v>
      </c>
      <c r="D60"/>
    </row>
    <row r="61" spans="1:4" ht="12.75">
      <c r="A61"/>
      <c r="B61" s="15" t="s">
        <v>158</v>
      </c>
      <c r="C61" s="99" t="s">
        <v>586</v>
      </c>
      <c r="D61"/>
    </row>
    <row r="62" spans="1:4" ht="12.75">
      <c r="A62"/>
      <c r="B62" s="15" t="s">
        <v>159</v>
      </c>
      <c r="C62" s="99" t="s">
        <v>28</v>
      </c>
      <c r="D62"/>
    </row>
    <row r="63" spans="1:4" ht="12.75">
      <c r="A63"/>
      <c r="B63"/>
      <c r="C63"/>
      <c r="D63"/>
    </row>
    <row r="64" spans="1:4" ht="12.75">
      <c r="A64"/>
      <c r="B64"/>
      <c r="C64"/>
      <c r="D64"/>
    </row>
    <row r="65" spans="1:4" ht="12.75">
      <c r="A65"/>
      <c r="B65"/>
      <c r="C65"/>
      <c r="D65"/>
    </row>
    <row r="66" spans="1:4" ht="12.75">
      <c r="A66"/>
      <c r="B66"/>
      <c r="C66"/>
      <c r="D66"/>
    </row>
    <row r="67" spans="1:4" ht="12.75">
      <c r="A67"/>
      <c r="B67"/>
      <c r="C67"/>
      <c r="D67"/>
    </row>
    <row r="68" spans="1:4" ht="12.75">
      <c r="A68"/>
      <c r="B68"/>
      <c r="C68"/>
      <c r="D68"/>
    </row>
    <row r="69" spans="1:4" ht="12.75">
      <c r="A69"/>
      <c r="B69"/>
      <c r="C69"/>
      <c r="D69"/>
    </row>
    <row r="70" spans="1:4" ht="12.75">
      <c r="A70"/>
      <c r="B70"/>
      <c r="C70"/>
      <c r="D70"/>
    </row>
    <row r="71" spans="1:4" ht="12.75">
      <c r="A71"/>
      <c r="B71"/>
      <c r="C71"/>
      <c r="D71"/>
    </row>
    <row r="72" spans="1:4" ht="12.75">
      <c r="A72"/>
      <c r="B72"/>
      <c r="C72"/>
      <c r="D72"/>
    </row>
    <row r="73" spans="1:4" ht="12.75">
      <c r="A73"/>
      <c r="B73"/>
      <c r="C73"/>
      <c r="D73"/>
    </row>
    <row r="74" spans="1:4" ht="12.75">
      <c r="A74"/>
      <c r="B74"/>
      <c r="C74"/>
      <c r="D74"/>
    </row>
    <row r="75" spans="1:4" ht="12.75">
      <c r="A75"/>
      <c r="B75"/>
      <c r="C75"/>
      <c r="D75"/>
    </row>
    <row r="76" spans="1:4" ht="12.75">
      <c r="A76"/>
      <c r="B76"/>
      <c r="C76"/>
      <c r="D76"/>
    </row>
    <row r="77" spans="1:4" ht="12.75">
      <c r="A77"/>
      <c r="B77"/>
      <c r="C77"/>
      <c r="D77"/>
    </row>
    <row r="78" spans="1:4" ht="12.75">
      <c r="A78"/>
      <c r="B78"/>
      <c r="C78"/>
      <c r="D78"/>
    </row>
    <row r="79" spans="1:4" ht="12.75">
      <c r="A79"/>
      <c r="B79"/>
      <c r="C79"/>
      <c r="D79"/>
    </row>
    <row r="80" spans="1:4" ht="12.75">
      <c r="A80"/>
      <c r="B80"/>
      <c r="C80"/>
      <c r="D80"/>
    </row>
    <row r="81" spans="1:4" ht="12.75">
      <c r="A81"/>
      <c r="B81"/>
      <c r="C81"/>
      <c r="D81"/>
    </row>
    <row r="82" spans="1:4" ht="12.75">
      <c r="A82"/>
      <c r="B82"/>
      <c r="C82"/>
      <c r="D82"/>
    </row>
    <row r="83" spans="1:4" ht="12.75">
      <c r="A83"/>
      <c r="B83"/>
      <c r="C83"/>
      <c r="D83"/>
    </row>
    <row r="84" spans="1:4" ht="12.75">
      <c r="A84"/>
      <c r="B84"/>
      <c r="C84"/>
      <c r="D84"/>
    </row>
    <row r="85" spans="1:4" ht="12.75">
      <c r="A85"/>
      <c r="B85"/>
      <c r="C85"/>
      <c r="D85"/>
    </row>
    <row r="86" spans="1:4" ht="12.75">
      <c r="A86"/>
      <c r="B86"/>
      <c r="C86"/>
      <c r="D86"/>
    </row>
    <row r="87" spans="1:4" ht="12.75">
      <c r="A87"/>
      <c r="B87"/>
      <c r="C87"/>
      <c r="D87"/>
    </row>
    <row r="88" spans="1:4" ht="12.75">
      <c r="A88"/>
      <c r="B88"/>
      <c r="C88"/>
      <c r="D88"/>
    </row>
    <row r="89" spans="1:4" ht="12.75">
      <c r="A89"/>
      <c r="B89"/>
      <c r="C89"/>
      <c r="D89"/>
    </row>
    <row r="90" spans="1:4" ht="12.75">
      <c r="A90"/>
      <c r="B90"/>
      <c r="C90"/>
      <c r="D90"/>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row r="96" spans="1:4" ht="12.75">
      <c r="A96"/>
      <c r="B96"/>
      <c r="C96"/>
      <c r="D96"/>
    </row>
    <row r="97" spans="1:4" ht="12.75">
      <c r="A97"/>
      <c r="B97"/>
      <c r="C97"/>
      <c r="D97"/>
    </row>
    <row r="98" spans="1:4" ht="12.75">
      <c r="A98"/>
      <c r="B98"/>
      <c r="C98"/>
      <c r="D98"/>
    </row>
    <row r="99" spans="1:4" ht="12.75">
      <c r="A99"/>
      <c r="B99"/>
      <c r="C99"/>
      <c r="D99"/>
    </row>
    <row r="100" spans="1:4" ht="12.75">
      <c r="A100"/>
      <c r="B100"/>
      <c r="C100"/>
      <c r="D100"/>
    </row>
    <row r="101" spans="1:4" ht="12.75">
      <c r="A101"/>
      <c r="B101"/>
      <c r="C101"/>
      <c r="D101"/>
    </row>
    <row r="102" spans="1:4" ht="12.75">
      <c r="A102"/>
      <c r="B102"/>
      <c r="C102"/>
      <c r="D102"/>
    </row>
    <row r="103" spans="1:4" ht="12.75">
      <c r="A103"/>
      <c r="B103"/>
      <c r="C103"/>
      <c r="D103"/>
    </row>
    <row r="104" spans="1:4" ht="12.75">
      <c r="A104"/>
      <c r="B104"/>
      <c r="C104"/>
      <c r="D104"/>
    </row>
    <row r="105" spans="1:4" ht="12.75">
      <c r="A105"/>
      <c r="B105"/>
      <c r="C105"/>
      <c r="D105"/>
    </row>
    <row r="106" spans="1:4" ht="12.75">
      <c r="A106"/>
      <c r="B106"/>
      <c r="C106"/>
      <c r="D106"/>
    </row>
    <row r="107" spans="1:4" ht="12.75">
      <c r="A107"/>
      <c r="B107"/>
      <c r="C107"/>
      <c r="D107"/>
    </row>
    <row r="108" spans="1:4" ht="12.75">
      <c r="A108"/>
      <c r="B108"/>
      <c r="C108"/>
      <c r="D108"/>
    </row>
    <row r="109" spans="1:4" ht="12.75">
      <c r="A109"/>
      <c r="B109"/>
      <c r="C109"/>
      <c r="D109"/>
    </row>
    <row r="110" spans="1:4" ht="12.75">
      <c r="A110"/>
      <c r="B110"/>
      <c r="C110"/>
      <c r="D110"/>
    </row>
    <row r="111" spans="1:4" ht="12.75">
      <c r="A111"/>
      <c r="B111"/>
      <c r="C111"/>
      <c r="D111"/>
    </row>
    <row r="112" spans="1:4" ht="12.75">
      <c r="A112"/>
      <c r="B112"/>
      <c r="C112"/>
      <c r="D112"/>
    </row>
    <row r="113" ht="12.75">
      <c r="B113" s="15"/>
    </row>
  </sheetData>
  <sheetProtection/>
  <printOptions horizontalCentered="1"/>
  <pageMargins left="0.75" right="0.5" top="1" bottom="1" header="0.5" footer="0.5"/>
  <pageSetup fitToHeight="2" orientation="portrait" r:id="rId1"/>
  <rowBreaks count="1" manualBreakCount="1">
    <brk id="34" max="10" man="1"/>
  </rowBreaks>
</worksheet>
</file>

<file path=xl/worksheets/sheet19.xml><?xml version="1.0" encoding="utf-8"?>
<worksheet xmlns="http://schemas.openxmlformats.org/spreadsheetml/2006/main" xmlns:r="http://schemas.openxmlformats.org/officeDocument/2006/relationships">
  <dimension ref="A1:S117"/>
  <sheetViews>
    <sheetView zoomScalePageLayoutView="0" workbookViewId="0" topLeftCell="A65">
      <selection activeCell="J65" sqref="J65"/>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6" width="8.8515625" style="0" customWidth="1"/>
    <col min="7" max="7" width="3.8515625" style="0" customWidth="1"/>
    <col min="8" max="12" width="11.8515625" style="0" customWidth="1"/>
    <col min="13" max="13" width="2.8515625" style="0" customWidth="1"/>
  </cols>
  <sheetData>
    <row r="1" spans="10:13" ht="12.75">
      <c r="J1" s="20"/>
      <c r="M1" s="20"/>
    </row>
    <row r="2" spans="10:13" ht="12.75">
      <c r="J2" s="20"/>
      <c r="M2" s="20"/>
    </row>
    <row r="3" spans="1:13" ht="16.5" thickBot="1">
      <c r="A3" s="9"/>
      <c r="B3" s="42" t="s">
        <v>352</v>
      </c>
      <c r="C3" s="75"/>
      <c r="D3" s="75"/>
      <c r="E3" s="9"/>
      <c r="F3" s="9"/>
      <c r="G3" s="9"/>
      <c r="H3" s="79"/>
      <c r="I3" s="9"/>
      <c r="J3" s="9"/>
      <c r="K3" s="9"/>
      <c r="L3" s="9"/>
      <c r="M3" s="79"/>
    </row>
    <row r="4" spans="2:13" ht="15.75">
      <c r="B4" s="74"/>
      <c r="J4" s="20"/>
      <c r="M4" s="20"/>
    </row>
    <row r="5" spans="2:13" ht="39">
      <c r="B5" s="74"/>
      <c r="H5" s="22" t="s">
        <v>117</v>
      </c>
      <c r="I5" s="101"/>
      <c r="J5" s="101"/>
      <c r="K5" s="19"/>
      <c r="M5" s="20"/>
    </row>
    <row r="6" spans="1:13" s="22" customFormat="1" ht="27" customHeight="1">
      <c r="A6" s="37"/>
      <c r="B6" s="74"/>
      <c r="C6" s="22" t="s">
        <v>72</v>
      </c>
      <c r="D6" s="22" t="s">
        <v>73</v>
      </c>
      <c r="F6" s="22" t="s">
        <v>78</v>
      </c>
      <c r="H6" s="23" t="s">
        <v>114</v>
      </c>
      <c r="I6" s="101" t="s">
        <v>143</v>
      </c>
      <c r="J6" s="23" t="s">
        <v>110</v>
      </c>
      <c r="K6" s="19" t="s">
        <v>115</v>
      </c>
      <c r="L6" s="101" t="s">
        <v>119</v>
      </c>
      <c r="M6" s="20"/>
    </row>
    <row r="7" spans="1:12" s="22" customFormat="1" ht="12.75" customHeight="1">
      <c r="A7" s="37"/>
      <c r="B7" s="50"/>
      <c r="C7" s="80" t="s">
        <v>153</v>
      </c>
      <c r="D7" s="80" t="s">
        <v>154</v>
      </c>
      <c r="E7" s="80"/>
      <c r="F7" s="80" t="s">
        <v>155</v>
      </c>
      <c r="G7" s="80"/>
      <c r="H7" s="81" t="s">
        <v>156</v>
      </c>
      <c r="I7" s="81" t="s">
        <v>157</v>
      </c>
      <c r="J7" s="103" t="s">
        <v>158</v>
      </c>
      <c r="K7" s="81" t="s">
        <v>159</v>
      </c>
      <c r="L7" s="81" t="s">
        <v>210</v>
      </c>
    </row>
    <row r="8" spans="1:13" s="22" customFormat="1" ht="12.75" customHeight="1">
      <c r="A8" s="17"/>
      <c r="B8" s="50"/>
      <c r="H8" s="23"/>
      <c r="I8" s="23"/>
      <c r="J8" s="101"/>
      <c r="K8" s="23"/>
      <c r="L8" s="23"/>
      <c r="M8" s="101"/>
    </row>
    <row r="9" spans="6:19" ht="12.75">
      <c r="F9" s="31"/>
      <c r="H9" s="30"/>
      <c r="I9" s="30"/>
      <c r="J9" s="30"/>
      <c r="K9" s="30"/>
      <c r="L9" s="30"/>
      <c r="M9" s="20"/>
      <c r="R9" s="3"/>
      <c r="S9" s="3"/>
    </row>
    <row r="10" spans="2:19" ht="12.75">
      <c r="B10" s="46" t="s">
        <v>160</v>
      </c>
      <c r="C10" s="19">
        <v>-4</v>
      </c>
      <c r="D10" s="19">
        <v>2009</v>
      </c>
      <c r="F10" s="31">
        <f aca="true" t="shared" si="0" ref="F10:F54">1/(1+WACCgas)^(C10)</f>
        <v>1.351642242221763</v>
      </c>
      <c r="H10" s="30"/>
      <c r="I10" s="30"/>
      <c r="J10" s="30"/>
      <c r="K10" s="30"/>
      <c r="L10" s="30"/>
      <c r="M10" s="20"/>
      <c r="R10" s="3"/>
      <c r="S10" s="3"/>
    </row>
    <row r="11" spans="2:19" ht="12.75">
      <c r="B11" s="46" t="s">
        <v>161</v>
      </c>
      <c r="C11" s="19">
        <v>-3</v>
      </c>
      <c r="D11" s="19">
        <v>2010</v>
      </c>
      <c r="F11" s="31">
        <f t="shared" si="0"/>
        <v>1.253563438772224</v>
      </c>
      <c r="H11" s="30"/>
      <c r="I11" s="30"/>
      <c r="J11" s="30"/>
      <c r="K11" s="30"/>
      <c r="L11" s="30"/>
      <c r="M11" s="20"/>
      <c r="R11" s="3"/>
      <c r="S11" s="3"/>
    </row>
    <row r="12" spans="2:19" ht="12.75">
      <c r="B12" s="46" t="s">
        <v>162</v>
      </c>
      <c r="C12" s="19">
        <v>-2</v>
      </c>
      <c r="D12" s="19">
        <v>2011</v>
      </c>
      <c r="F12" s="31">
        <f t="shared" si="0"/>
        <v>1.1626014976</v>
      </c>
      <c r="H12" s="30"/>
      <c r="I12" s="30"/>
      <c r="J12" s="30"/>
      <c r="K12" s="30"/>
      <c r="L12" s="30"/>
      <c r="M12" s="20"/>
      <c r="R12" s="3"/>
      <c r="S12" s="3"/>
    </row>
    <row r="13" spans="2:19" ht="12.75">
      <c r="B13" s="46" t="s">
        <v>163</v>
      </c>
      <c r="C13" s="19">
        <v>-1</v>
      </c>
      <c r="D13" s="19">
        <v>2012</v>
      </c>
      <c r="F13" s="31">
        <f t="shared" si="0"/>
        <v>1.07824</v>
      </c>
      <c r="H13" s="30">
        <f>$F13*'Table 10B LCOE Gas after-tax'!F13</f>
        <v>531.2396630961235</v>
      </c>
      <c r="I13" s="30"/>
      <c r="J13" s="30"/>
      <c r="K13" s="30"/>
      <c r="L13" s="30">
        <f>$F13*'Table 10B LCOE Gas after-tax'!J13</f>
        <v>531.2396630961235</v>
      </c>
      <c r="M13" s="20"/>
      <c r="R13" s="3"/>
      <c r="S13" s="3"/>
    </row>
    <row r="14" spans="2:19" ht="12.75">
      <c r="B14" s="46" t="s">
        <v>164</v>
      </c>
      <c r="C14" s="19">
        <v>0</v>
      </c>
      <c r="D14" s="19">
        <v>2013</v>
      </c>
      <c r="F14" s="31">
        <f t="shared" si="0"/>
        <v>1</v>
      </c>
      <c r="H14" s="30">
        <f>$F14*'Table 10B LCOE Gas after-tax'!F14</f>
        <v>507.472226024825</v>
      </c>
      <c r="I14" s="30"/>
      <c r="J14" s="30"/>
      <c r="K14" s="30"/>
      <c r="L14" s="30">
        <f>$F14*'Table 10B LCOE Gas after-tax'!J14</f>
        <v>507.472226024825</v>
      </c>
      <c r="M14" s="20"/>
      <c r="R14" s="3"/>
      <c r="S14" s="3"/>
    </row>
    <row r="15" spans="2:19" ht="12.75">
      <c r="B15" s="46" t="s">
        <v>165</v>
      </c>
      <c r="C15" s="19">
        <v>1</v>
      </c>
      <c r="D15" s="19">
        <v>2014</v>
      </c>
      <c r="F15" s="31">
        <f t="shared" si="0"/>
        <v>0.9274373052381658</v>
      </c>
      <c r="H15" s="30">
        <f>$F15*'Table 10B LCOE Gas after-tax'!F15</f>
        <v>-17.16039897485069</v>
      </c>
      <c r="I15" s="30">
        <f>$F15*'Table 10B LCOE Gas after-tax'!G15</f>
        <v>7.329694186099769</v>
      </c>
      <c r="J15" s="30">
        <f>$F15*'Table 10B LCOE Gas after-tax'!H15</f>
        <v>9.74461823375513</v>
      </c>
      <c r="K15" s="30">
        <f>$F15*'Table 10B LCOE Gas after-tax'!I15</f>
        <v>263.92191904098996</v>
      </c>
      <c r="L15" s="30">
        <f>$F15*'Table 10B LCOE Gas after-tax'!J15</f>
        <v>263.83583248599416</v>
      </c>
      <c r="M15" s="20"/>
      <c r="O15" s="27"/>
      <c r="P15" s="27"/>
      <c r="R15" s="3"/>
      <c r="S15" s="3"/>
    </row>
    <row r="16" spans="2:19" ht="12.75">
      <c r="B16" s="46" t="s">
        <v>166</v>
      </c>
      <c r="C16" s="19">
        <v>2</v>
      </c>
      <c r="D16" s="19">
        <v>2015</v>
      </c>
      <c r="F16" s="31">
        <f t="shared" si="0"/>
        <v>0.8601399551474308</v>
      </c>
      <c r="H16" s="30">
        <f>$F16*'Table 10B LCOE Gas after-tax'!F16</f>
        <v>-30.238868945889884</v>
      </c>
      <c r="I16" s="30">
        <f>$F16*'Table 10B LCOE Gas after-tax'!G16</f>
        <v>7.001766778901507</v>
      </c>
      <c r="J16" s="30">
        <f>$F16*'Table 10B LCOE Gas after-tax'!H16</f>
        <v>9.401734631042679</v>
      </c>
      <c r="K16" s="30">
        <f>$F16*'Table 10B LCOE Gas after-tax'!I16</f>
        <v>253.37473521227255</v>
      </c>
      <c r="L16" s="30">
        <f>$F16*'Table 10B LCOE Gas after-tax'!J16</f>
        <v>239.53936767632683</v>
      </c>
      <c r="M16" s="20"/>
      <c r="O16" s="27"/>
      <c r="P16" s="27"/>
      <c r="R16" s="3"/>
      <c r="S16" s="3"/>
    </row>
    <row r="17" spans="2:19" ht="12.75">
      <c r="B17" s="46" t="s">
        <v>167</v>
      </c>
      <c r="C17" s="19">
        <v>3</v>
      </c>
      <c r="D17" s="19">
        <v>2016</v>
      </c>
      <c r="F17" s="31">
        <f t="shared" si="0"/>
        <v>0.7977258821296102</v>
      </c>
      <c r="H17" s="30">
        <f>$F17*'Table 10B LCOE Gas after-tax'!F17</f>
        <v>-25.240189615763562</v>
      </c>
      <c r="I17" s="30">
        <f>$F17*'Table 10B LCOE Gas after-tax'!G17</f>
        <v>6.688510704730444</v>
      </c>
      <c r="J17" s="30">
        <f>$F17*'Table 10B LCOE Gas after-tax'!H17</f>
        <v>9.070916063838942</v>
      </c>
      <c r="K17" s="30">
        <f>$F17*'Table 10B LCOE Gas after-tax'!I17</f>
        <v>243.24905137537462</v>
      </c>
      <c r="L17" s="30">
        <f>$F17*'Table 10B LCOE Gas after-tax'!J17</f>
        <v>233.76828852818045</v>
      </c>
      <c r="M17" s="20"/>
      <c r="O17" s="27"/>
      <c r="P17" s="27"/>
      <c r="R17" s="3"/>
      <c r="S17" s="3"/>
    </row>
    <row r="18" spans="2:19" ht="12.75">
      <c r="B18" s="46" t="s">
        <v>168</v>
      </c>
      <c r="C18" s="19">
        <v>4</v>
      </c>
      <c r="D18" s="19">
        <v>2017</v>
      </c>
      <c r="F18" s="31">
        <f t="shared" si="0"/>
        <v>0.7398407424410243</v>
      </c>
      <c r="H18" s="30">
        <f>$F18*'Table 10B LCOE Gas after-tax'!F18</f>
        <v>-21.081513391259588</v>
      </c>
      <c r="I18" s="30">
        <f>$F18*'Table 10B LCOE Gas after-tax'!G18</f>
        <v>6.3892695743733805</v>
      </c>
      <c r="J18" s="30">
        <f>$F18*'Table 10B LCOE Gas after-tax'!H18</f>
        <v>8.751738000085</v>
      </c>
      <c r="K18" s="30">
        <f>$F18*'Table 10B LCOE Gas after-tax'!I18</f>
        <v>233.52802301085006</v>
      </c>
      <c r="L18" s="30">
        <f>$F18*'Table 10B LCOE Gas after-tax'!J18</f>
        <v>227.58751719404887</v>
      </c>
      <c r="M18" s="20"/>
      <c r="O18" s="27"/>
      <c r="P18" s="27"/>
      <c r="R18" s="3"/>
      <c r="S18" s="3"/>
    </row>
    <row r="19" spans="2:19" ht="12.75">
      <c r="B19" s="46" t="s">
        <v>169</v>
      </c>
      <c r="C19" s="19">
        <v>5</v>
      </c>
      <c r="D19" s="19">
        <v>2018</v>
      </c>
      <c r="F19" s="31">
        <f t="shared" si="0"/>
        <v>0.6861559044749075</v>
      </c>
      <c r="H19" s="30">
        <f>$F19*'Table 10B LCOE Gas after-tax'!F19</f>
        <v>-17.596603772938888</v>
      </c>
      <c r="I19" s="30">
        <f>$F19*'Table 10B LCOE Gas after-tax'!G19</f>
        <v>6.103416365191964</v>
      </c>
      <c r="J19" s="30">
        <f>$F19*'Table 10B LCOE Gas after-tax'!H19</f>
        <v>8.443790845719343</v>
      </c>
      <c r="K19" s="30">
        <f>$F19*'Table 10B LCOE Gas after-tax'!I19</f>
        <v>224.19547876139032</v>
      </c>
      <c r="L19" s="30">
        <f>$F19*'Table 10B LCOE Gas after-tax'!J19</f>
        <v>221.14608219936275</v>
      </c>
      <c r="M19" s="20"/>
      <c r="O19" s="27"/>
      <c r="P19" s="27"/>
      <c r="R19" s="3"/>
      <c r="S19" s="3"/>
    </row>
    <row r="20" spans="2:19" ht="12.75">
      <c r="B20" t="s">
        <v>170</v>
      </c>
      <c r="C20" s="19">
        <v>6</v>
      </c>
      <c r="D20" s="19">
        <v>2019</v>
      </c>
      <c r="F20" s="31">
        <f t="shared" si="0"/>
        <v>0.6363665830194646</v>
      </c>
      <c r="H20" s="30">
        <f>$F20*'Table 10B LCOE Gas after-tax'!F20</f>
        <v>-14.671287513354732</v>
      </c>
      <c r="I20" s="30">
        <f>$F20*'Table 10B LCOE Gas after-tax'!G20</f>
        <v>5.830352107274559</v>
      </c>
      <c r="J20" s="30">
        <f>$F20*'Table 10B LCOE Gas after-tax'!H20</f>
        <v>8.146679419054971</v>
      </c>
      <c r="K20" s="30">
        <f>$F20*'Table 10B LCOE Gas after-tax'!I20</f>
        <v>215.2358935300612</v>
      </c>
      <c r="L20" s="30">
        <f>$F20*'Table 10B LCOE Gas after-tax'!J20</f>
        <v>214.541637543036</v>
      </c>
      <c r="M20" s="20"/>
      <c r="O20" s="27"/>
      <c r="P20" s="27"/>
      <c r="R20" s="3"/>
      <c r="S20" s="3"/>
    </row>
    <row r="21" spans="2:19" ht="12.75">
      <c r="B21" t="s">
        <v>171</v>
      </c>
      <c r="C21" s="19">
        <v>7</v>
      </c>
      <c r="D21" s="19">
        <v>2020</v>
      </c>
      <c r="F21" s="31">
        <f t="shared" si="0"/>
        <v>0.5901901088991919</v>
      </c>
      <c r="H21" s="30">
        <f>$F21*'Table 10B LCOE Gas after-tax'!F21</f>
        <v>-12.885959261474222</v>
      </c>
      <c r="I21" s="30">
        <f>$F21*'Table 10B LCOE Gas after-tax'!G21</f>
        <v>5.569504628369191</v>
      </c>
      <c r="J21" s="30">
        <f>$F21*'Table 10B LCOE Gas after-tax'!H21</f>
        <v>7.860022443651586</v>
      </c>
      <c r="K21" s="30">
        <f>$F21*'Table 10B LCOE Gas after-tax'!I21</f>
        <v>206.63436265362336</v>
      </c>
      <c r="L21" s="30">
        <f>$F21*'Table 10B LCOE Gas after-tax'!J21</f>
        <v>207.17793046416992</v>
      </c>
      <c r="M21" s="20"/>
      <c r="O21" s="27"/>
      <c r="P21" s="27"/>
      <c r="R21" s="3"/>
      <c r="S21" s="3"/>
    </row>
    <row r="22" spans="2:19" ht="12.75">
      <c r="B22" t="s">
        <v>174</v>
      </c>
      <c r="C22" s="19">
        <v>8</v>
      </c>
      <c r="D22" s="19">
        <v>2021</v>
      </c>
      <c r="F22" s="31">
        <f t="shared" si="0"/>
        <v>0.547364324175686</v>
      </c>
      <c r="H22" s="30">
        <f>$F22*'Table 10B LCOE Gas after-tax'!F22</f>
        <v>-11.950919332870434</v>
      </c>
      <c r="I22" s="30">
        <f>$F22*'Table 10B LCOE Gas after-tax'!G22</f>
        <v>5.320327354967601</v>
      </c>
      <c r="J22" s="30">
        <f>$F22*'Table 10B LCOE Gas after-tax'!H22</f>
        <v>7.583452059032075</v>
      </c>
      <c r="K22" s="30">
        <f>$F22*'Table 10B LCOE Gas after-tax'!I22</f>
        <v>198.37657710797058</v>
      </c>
      <c r="L22" s="30">
        <f>$F22*'Table 10B LCOE Gas after-tax'!J22</f>
        <v>199.32943718909982</v>
      </c>
      <c r="M22" s="20"/>
      <c r="O22" s="27"/>
      <c r="P22" s="27"/>
      <c r="R22" s="3"/>
      <c r="S22" s="3"/>
    </row>
    <row r="23" spans="2:19" ht="12.75">
      <c r="B23" t="s">
        <v>174</v>
      </c>
      <c r="C23" s="19">
        <v>9</v>
      </c>
      <c r="D23" s="19">
        <v>2022</v>
      </c>
      <c r="F23" s="31">
        <f t="shared" si="0"/>
        <v>0.5076460937970081</v>
      </c>
      <c r="H23" s="30">
        <f>$F23*'Table 10B LCOE Gas after-tax'!F23</f>
        <v>-11.102514401570964</v>
      </c>
      <c r="I23" s="30">
        <f>$F23*'Table 10B LCOE Gas after-tax'!G23</f>
        <v>5.082298167028333</v>
      </c>
      <c r="J23" s="30">
        <f>$F23*'Table 10B LCOE Gas after-tax'!H23</f>
        <v>7.316613348615396</v>
      </c>
      <c r="K23" s="30">
        <f>$F23*'Table 10B LCOE Gas after-tax'!I23</f>
        <v>190.44879970444035</v>
      </c>
      <c r="L23" s="30">
        <f>$F23*'Table 10B LCOE Gas after-tax'!J23</f>
        <v>191.74519681851314</v>
      </c>
      <c r="M23" s="20"/>
      <c r="O23" s="27"/>
      <c r="P23" s="27"/>
      <c r="R23" s="3"/>
      <c r="S23" s="3"/>
    </row>
    <row r="24" spans="2:19" ht="12.75">
      <c r="B24" t="s">
        <v>124</v>
      </c>
      <c r="C24" s="19">
        <v>10</v>
      </c>
      <c r="D24" s="19">
        <v>2023</v>
      </c>
      <c r="F24" s="31">
        <f t="shared" si="0"/>
        <v>0.4708099252457784</v>
      </c>
      <c r="H24" s="30">
        <f>$F24*'Table 10B LCOE Gas after-tax'!F24</f>
        <v>-10.279463218945741</v>
      </c>
      <c r="I24" s="30">
        <f>$F24*'Table 10B LCOE Gas after-tax'!G24</f>
        <v>4.8549183039389945</v>
      </c>
      <c r="J24" s="30">
        <f>$F24*'Table 10B LCOE Gas after-tax'!H24</f>
        <v>7.059163884260089</v>
      </c>
      <c r="K24" s="30">
        <f>$F24*'Table 10B LCOE Gas after-tax'!I24</f>
        <v>182.83784223739744</v>
      </c>
      <c r="L24" s="30">
        <f>$F24*'Table 10B LCOE Gas after-tax'!J24</f>
        <v>184.4724612066508</v>
      </c>
      <c r="M24" s="20"/>
      <c r="O24" s="27"/>
      <c r="P24" s="27"/>
      <c r="R24" s="3"/>
      <c r="S24" s="3"/>
    </row>
    <row r="25" spans="2:19" ht="12.75">
      <c r="B25" t="s">
        <v>221</v>
      </c>
      <c r="C25" s="19">
        <v>11</v>
      </c>
      <c r="D25" s="19">
        <v>2024</v>
      </c>
      <c r="F25" s="31">
        <f t="shared" si="0"/>
        <v>0.436646688349327</v>
      </c>
      <c r="H25" s="30">
        <f>$F25*'Table 10B LCOE Gas after-tax'!F25</f>
        <v>-9.549716239390953</v>
      </c>
      <c r="I25" s="30">
        <f>$F25*'Table 10B LCOE Gas after-tax'!G25</f>
        <v>4.637711319425327</v>
      </c>
      <c r="J25" s="30">
        <f>$F25*'Table 10B LCOE Gas after-tax'!H25</f>
        <v>6.810773286833887</v>
      </c>
      <c r="K25" s="30">
        <f>$F25*'Table 10B LCOE Gas after-tax'!I25</f>
        <v>175.53104354507525</v>
      </c>
      <c r="L25" s="30">
        <f>$F25*'Table 10B LCOE Gas after-tax'!J25</f>
        <v>177.42981191194352</v>
      </c>
      <c r="M25" s="20"/>
      <c r="O25" s="27"/>
      <c r="P25" s="27"/>
      <c r="R25" s="3"/>
      <c r="S25" s="3"/>
    </row>
    <row r="26" spans="2:19" ht="12.75">
      <c r="B26" t="s">
        <v>251</v>
      </c>
      <c r="C26" s="19">
        <v>12</v>
      </c>
      <c r="D26" s="19">
        <v>2025</v>
      </c>
      <c r="F26" s="31">
        <f t="shared" si="0"/>
        <v>0.40496242798386906</v>
      </c>
      <c r="H26" s="30">
        <f>$F26*'Table 10B LCOE Gas after-tax'!F26</f>
        <v>-8.841777032083654</v>
      </c>
      <c r="I26" s="30">
        <f>$F26*'Table 10B LCOE Gas after-tax'!G26</f>
        <v>4.430222083217174</v>
      </c>
      <c r="J26" s="30">
        <f>$F26*'Table 10B LCOE Gas after-tax'!H26</f>
        <v>6.571122802245595</v>
      </c>
      <c r="K26" s="30">
        <f>$F26*'Table 10B LCOE Gas after-tax'!I26</f>
        <v>168.51624844717747</v>
      </c>
      <c r="L26" s="30">
        <f>$F26*'Table 10B LCOE Gas after-tax'!J26</f>
        <v>170.6758163005566</v>
      </c>
      <c r="M26" s="20"/>
      <c r="O26" s="27"/>
      <c r="P26" s="27"/>
      <c r="R26" s="3"/>
      <c r="S26" s="3"/>
    </row>
    <row r="27" spans="2:19" ht="12.75">
      <c r="B27" t="s">
        <v>252</v>
      </c>
      <c r="C27" s="19">
        <v>13</v>
      </c>
      <c r="D27" s="19">
        <v>2026</v>
      </c>
      <c r="F27" s="31">
        <f t="shared" si="0"/>
        <v>0.3755772629320644</v>
      </c>
      <c r="H27" s="30">
        <f>$F27*'Table 10B LCOE Gas after-tax'!F27</f>
        <v>-8.214092497820427</v>
      </c>
      <c r="I27" s="30">
        <f>$F27*'Table 10B LCOE Gas after-tax'!G27</f>
        <v>4.2320158273795165</v>
      </c>
      <c r="J27" s="30">
        <f>$F27*'Table 10B LCOE Gas after-tax'!H27</f>
        <v>6.339904892395102</v>
      </c>
      <c r="K27" s="30">
        <f>$F27*'Table 10B LCOE Gas after-tax'!I27</f>
        <v>161.7817875242022</v>
      </c>
      <c r="L27" s="30">
        <f>$F27*'Table 10B LCOE Gas after-tax'!J27</f>
        <v>164.1396157461564</v>
      </c>
      <c r="M27" s="20"/>
      <c r="O27" s="27"/>
      <c r="P27" s="27"/>
      <c r="R27" s="3"/>
      <c r="S27" s="3"/>
    </row>
    <row r="28" spans="2:19" ht="12.75">
      <c r="B28" t="s">
        <v>256</v>
      </c>
      <c r="C28" s="19">
        <v>14</v>
      </c>
      <c r="D28" s="19">
        <v>2027</v>
      </c>
      <c r="F28" s="31">
        <f t="shared" si="0"/>
        <v>0.3483243646424399</v>
      </c>
      <c r="H28" s="30">
        <f>$F28*'Table 10B LCOE Gas after-tax'!F28</f>
        <v>-7.605165699800018</v>
      </c>
      <c r="I28" s="30">
        <f>$F28*'Table 10B LCOE Gas after-tax'!G28</f>
        <v>4.042677235310229</v>
      </c>
      <c r="J28" s="30">
        <f>$F28*'Table 10B LCOE Gas after-tax'!H28</f>
        <v>6.116822840516604</v>
      </c>
      <c r="K28" s="30">
        <f>$F28*'Table 10B LCOE Gas after-tax'!I28</f>
        <v>155.3164577048504</v>
      </c>
      <c r="L28" s="30">
        <f>$F28*'Table 10B LCOE Gas after-tax'!J28</f>
        <v>157.8707920808772</v>
      </c>
      <c r="M28" s="20"/>
      <c r="O28" s="27"/>
      <c r="P28" s="27"/>
      <c r="R28" s="3"/>
      <c r="S28" s="3"/>
    </row>
    <row r="29" spans="2:19" ht="12.75">
      <c r="B29" t="s">
        <v>257</v>
      </c>
      <c r="C29" s="19">
        <v>15</v>
      </c>
      <c r="D29" s="19">
        <v>2028</v>
      </c>
      <c r="F29" s="31">
        <f t="shared" si="0"/>
        <v>0.3230490100927807</v>
      </c>
      <c r="H29" s="30">
        <f>$F29*'Table 10B LCOE Gas after-tax'!F29</f>
        <v>-7.065269152652111</v>
      </c>
      <c r="I29" s="30">
        <f>$F29*'Table 10B LCOE Gas after-tax'!G29</f>
        <v>3.8618095714957117</v>
      </c>
      <c r="J29" s="30">
        <f>$F29*'Table 10B LCOE Gas after-tax'!H29</f>
        <v>5.901590370408651</v>
      </c>
      <c r="K29" s="30">
        <f>$F29*'Table 10B LCOE Gas after-tax'!I29</f>
        <v>149.1095036292253</v>
      </c>
      <c r="L29" s="30">
        <f>$F29*'Table 10B LCOE Gas after-tax'!J29</f>
        <v>151.80763441847753</v>
      </c>
      <c r="M29" s="20"/>
      <c r="O29" s="27"/>
      <c r="P29" s="27"/>
      <c r="R29" s="3"/>
      <c r="S29" s="3"/>
    </row>
    <row r="30" spans="2:19" ht="12.75">
      <c r="B30" t="s">
        <v>258</v>
      </c>
      <c r="C30" s="19">
        <v>16</v>
      </c>
      <c r="D30" s="19">
        <v>2029</v>
      </c>
      <c r="F30" s="31">
        <f t="shared" si="0"/>
        <v>0.29960770338030557</v>
      </c>
      <c r="H30" s="30">
        <f>$F30*'Table 10B LCOE Gas after-tax'!F30</f>
        <v>-3.2707534419573836</v>
      </c>
      <c r="I30" s="30">
        <f>$F30*'Table 10B LCOE Gas after-tax'!G30</f>
        <v>3.6890338502008664</v>
      </c>
      <c r="J30" s="30">
        <f>$F30*'Table 10B LCOE Gas after-tax'!H30</f>
        <v>5.6939312790622845</v>
      </c>
      <c r="K30" s="30">
        <f>$F30*'Table 10B LCOE Gas after-tax'!I30</f>
        <v>143.15059975681902</v>
      </c>
      <c r="L30" s="30">
        <f>$F30*'Table 10B LCOE Gas after-tax'!J30</f>
        <v>149.2628114441248</v>
      </c>
      <c r="M30" s="20"/>
      <c r="O30" s="27"/>
      <c r="P30" s="27"/>
      <c r="R30" s="3"/>
      <c r="S30" s="3"/>
    </row>
    <row r="31" spans="2:19" ht="12.75">
      <c r="B31" t="s">
        <v>226</v>
      </c>
      <c r="C31" s="19">
        <v>17</v>
      </c>
      <c r="D31" s="19">
        <v>2030</v>
      </c>
      <c r="F31" s="31">
        <f t="shared" si="0"/>
        <v>0.2778673610516263</v>
      </c>
      <c r="H31" s="30">
        <f>$F31*'Table 10B LCOE Gas after-tax'!F31</f>
        <v>0</v>
      </c>
      <c r="I31" s="30">
        <f>$F31*'Table 10B LCOE Gas after-tax'!G31</f>
        <v>3.5239880413515476</v>
      </c>
      <c r="J31" s="30">
        <f>$F31*'Table 10B LCOE Gas after-tax'!H31</f>
        <v>5.493579082215921</v>
      </c>
      <c r="K31" s="30">
        <f>$F31*'Table 10B LCOE Gas after-tax'!I31</f>
        <v>137.42983318952295</v>
      </c>
      <c r="L31" s="30">
        <f>$F31*'Table 10B LCOE Gas after-tax'!J31</f>
        <v>146.4474003130904</v>
      </c>
      <c r="M31" s="20"/>
      <c r="O31" s="27"/>
      <c r="P31" s="27"/>
      <c r="R31" s="3"/>
      <c r="S31" s="3"/>
    </row>
    <row r="32" spans="2:19" ht="12.75">
      <c r="B32" t="s">
        <v>227</v>
      </c>
      <c r="C32" s="19">
        <v>18</v>
      </c>
      <c r="D32" s="19">
        <v>2031</v>
      </c>
      <c r="F32" s="31">
        <f t="shared" si="0"/>
        <v>0.2577045565473608</v>
      </c>
      <c r="H32" s="30">
        <f>$F32*'Table 10B LCOE Gas after-tax'!F32</f>
        <v>0</v>
      </c>
      <c r="I32" s="30">
        <f>$F32*'Table 10B LCOE Gas after-tax'!G32</f>
        <v>3.366326311945479</v>
      </c>
      <c r="J32" s="30">
        <f>$F32*'Table 10B LCOE Gas after-tax'!H32</f>
        <v>5.30027667238205</v>
      </c>
      <c r="K32" s="30">
        <f>$F32*'Table 10B LCOE Gas after-tax'!I32</f>
        <v>131.93768718108646</v>
      </c>
      <c r="L32" s="30">
        <f>$F32*'Table 10B LCOE Gas after-tax'!J32</f>
        <v>140.604290165414</v>
      </c>
      <c r="M32" s="20"/>
      <c r="O32" s="27"/>
      <c r="P32" s="27"/>
      <c r="R32" s="3"/>
      <c r="S32" s="3"/>
    </row>
    <row r="33" spans="2:19" ht="12.75">
      <c r="B33" t="s">
        <v>228</v>
      </c>
      <c r="C33" s="19">
        <v>19</v>
      </c>
      <c r="D33" s="19">
        <v>2032</v>
      </c>
      <c r="F33" s="31">
        <f t="shared" si="0"/>
        <v>0.23900481947188085</v>
      </c>
      <c r="H33" s="30">
        <f>$F33*'Table 10B LCOE Gas after-tax'!F33</f>
        <v>0</v>
      </c>
      <c r="I33" s="30">
        <f>$F33*'Table 10B LCOE Gas after-tax'!G33</f>
        <v>3.21571830140214</v>
      </c>
      <c r="J33" s="30">
        <f>$F33*'Table 10B LCOE Gas after-tax'!H33</f>
        <v>5.113775988906966</v>
      </c>
      <c r="K33" s="30">
        <f>$F33*'Table 10B LCOE Gas after-tax'!I33</f>
        <v>126.66502530559214</v>
      </c>
      <c r="L33" s="30">
        <f>$F33*'Table 10B LCOE Gas after-tax'!J33</f>
        <v>134.99451959590124</v>
      </c>
      <c r="M33" s="20"/>
      <c r="O33" s="27"/>
      <c r="P33" s="27"/>
      <c r="R33" s="3"/>
      <c r="S33" s="3"/>
    </row>
    <row r="34" spans="2:19" ht="12.75">
      <c r="B34" t="s">
        <v>229</v>
      </c>
      <c r="C34" s="19">
        <v>20</v>
      </c>
      <c r="D34" s="19">
        <v>2033</v>
      </c>
      <c r="F34" s="31">
        <f t="shared" si="0"/>
        <v>0.22166198570993542</v>
      </c>
      <c r="H34" s="30">
        <f>$F34*'Table 10B LCOE Gas after-tax'!F34</f>
        <v>0</v>
      </c>
      <c r="I34" s="30">
        <f>$F34*'Table 10B LCOE Gas after-tax'!G34</f>
        <v>3.071848429333176</v>
      </c>
      <c r="J34" s="30">
        <f>$F34*'Table 10B LCOE Gas after-tax'!H34</f>
        <v>4.933837699640075</v>
      </c>
      <c r="K34" s="30">
        <f>$F34*'Table 10B LCOE Gas after-tax'!I34</f>
        <v>121.60307625861</v>
      </c>
      <c r="L34" s="30">
        <f>$F34*'Table 10B LCOE Gas after-tax'!J34</f>
        <v>129.60876238758325</v>
      </c>
      <c r="M34" s="20"/>
      <c r="O34" s="27"/>
      <c r="P34" s="27"/>
      <c r="R34" s="3"/>
      <c r="S34" s="3"/>
    </row>
    <row r="35" spans="2:19" ht="12.75">
      <c r="B35" t="s">
        <v>230</v>
      </c>
      <c r="C35" s="19">
        <v>21</v>
      </c>
      <c r="D35" s="19">
        <v>2034</v>
      </c>
      <c r="F35" s="31">
        <f t="shared" si="0"/>
        <v>0.2055775947005634</v>
      </c>
      <c r="H35" s="30">
        <f>$F35*'Table 10B LCOE Gas after-tax'!F35</f>
        <v>0</v>
      </c>
      <c r="I35" s="30">
        <f>$F35*'Table 10B LCOE Gas after-tax'!G35</f>
        <v>2.9344152342828793</v>
      </c>
      <c r="J35" s="30">
        <f>$F35*'Table 10B LCOE Gas after-tax'!H35</f>
        <v>4.760230893804321</v>
      </c>
      <c r="K35" s="30">
        <f>$F35*'Table 10B LCOE Gas after-tax'!I35</f>
        <v>116.74341926574809</v>
      </c>
      <c r="L35" s="30">
        <f>$F35*'Table 10B LCOE Gas after-tax'!J35</f>
        <v>124.4380653938353</v>
      </c>
      <c r="M35" s="20"/>
      <c r="O35" s="27"/>
      <c r="P35" s="27"/>
      <c r="R35" s="3"/>
      <c r="S35" s="3"/>
    </row>
    <row r="36" spans="2:19" ht="12.75">
      <c r="B36" t="s">
        <v>231</v>
      </c>
      <c r="C36" s="19">
        <v>22</v>
      </c>
      <c r="D36" s="19">
        <v>2035</v>
      </c>
      <c r="F36" s="31">
        <f t="shared" si="0"/>
        <v>0.19066033044643432</v>
      </c>
      <c r="H36" s="30"/>
      <c r="I36" s="30">
        <f>$F36*'Table 10B LCOE Gas after-tax'!G36</f>
        <v>2.803130742053128</v>
      </c>
      <c r="J36" s="30">
        <f>$F36*'Table 10B LCOE Gas after-tax'!H36</f>
        <v>4.592732785673536</v>
      </c>
      <c r="K36" s="30">
        <f>$F36*'Table 10B LCOE Gas after-tax'!I36</f>
        <v>112.07797007432399</v>
      </c>
      <c r="L36" s="30">
        <f>$F36*'Table 10B LCOE Gas after-tax'!J36</f>
        <v>119.47383360205066</v>
      </c>
      <c r="M36" s="20"/>
      <c r="O36" s="27"/>
      <c r="P36" s="27"/>
      <c r="R36" s="3"/>
      <c r="S36" s="3"/>
    </row>
    <row r="37" spans="2:19" ht="12.75">
      <c r="B37" t="s">
        <v>232</v>
      </c>
      <c r="C37" s="19">
        <v>23</v>
      </c>
      <c r="D37" s="19">
        <v>2036</v>
      </c>
      <c r="F37" s="31">
        <f t="shared" si="0"/>
        <v>0.17682550308505932</v>
      </c>
      <c r="H37" s="30"/>
      <c r="I37" s="30">
        <f>$F37*'Table 10B LCOE Gas after-tax'!G37</f>
        <v>2.677719862289214</v>
      </c>
      <c r="J37" s="30">
        <f>$F37*'Table 10B LCOE Gas after-tax'!H37</f>
        <v>4.431128428676529</v>
      </c>
      <c r="K37" s="30">
        <f>$F37*'Table 10B LCOE Gas after-tax'!I37</f>
        <v>107.5989675048565</v>
      </c>
      <c r="L37" s="30">
        <f>$F37*'Table 10B LCOE Gas after-tax'!J37</f>
        <v>114.70781579582226</v>
      </c>
      <c r="M37" s="20"/>
      <c r="O37" s="27"/>
      <c r="P37" s="27"/>
      <c r="R37" s="3"/>
      <c r="S37" s="3"/>
    </row>
    <row r="38" spans="2:19" ht="12.75">
      <c r="B38" t="s">
        <v>233</v>
      </c>
      <c r="C38" s="19">
        <v>24</v>
      </c>
      <c r="D38" s="19">
        <v>2037</v>
      </c>
      <c r="F38" s="31">
        <f t="shared" si="0"/>
        <v>0.16399456807859036</v>
      </c>
      <c r="H38" s="30"/>
      <c r="I38" s="30">
        <f>$F38*'Table 10B LCOE Gas after-tax'!G38</f>
        <v>2.557919812062148</v>
      </c>
      <c r="J38" s="30">
        <f>$F38*'Table 10B LCOE Gas after-tax'!H38</f>
        <v>4.275210439560944</v>
      </c>
      <c r="K38" s="30">
        <f>$F38*'Table 10B LCOE Gas after-tax'!I38</f>
        <v>103.29896054000241</v>
      </c>
      <c r="L38" s="30">
        <f>$F38*'Table 10B LCOE Gas after-tax'!J38</f>
        <v>110.1320907916255</v>
      </c>
      <c r="M38" s="20"/>
      <c r="O38" s="27"/>
      <c r="P38" s="27"/>
      <c r="R38" s="3"/>
      <c r="S38" s="3"/>
    </row>
    <row r="39" spans="2:19" ht="12.75">
      <c r="B39" t="s">
        <v>234</v>
      </c>
      <c r="C39" s="19">
        <v>25</v>
      </c>
      <c r="D39" s="19">
        <v>2038</v>
      </c>
      <c r="F39" s="31">
        <f t="shared" si="0"/>
        <v>0.15209468029250478</v>
      </c>
      <c r="H39" s="30"/>
      <c r="I39" s="30">
        <f>$F39*'Table 10B LCOE Gas after-tax'!G39</f>
        <v>2.4434795652396613</v>
      </c>
      <c r="J39" s="30">
        <f>$F39*'Table 10B LCOE Gas after-tax'!H39</f>
        <v>4.124778732262993</v>
      </c>
      <c r="K39" s="30">
        <f>$F39*'Table 10B LCOE Gas after-tax'!I39</f>
        <v>99.17079592946236</v>
      </c>
      <c r="L39" s="30">
        <f>$F39*'Table 10B LCOE Gas after-tax'!J39</f>
        <v>105.73905422696502</v>
      </c>
      <c r="M39" s="20"/>
      <c r="O39" s="27"/>
      <c r="P39" s="27"/>
      <c r="R39" s="3"/>
      <c r="S39" s="3"/>
    </row>
    <row r="40" spans="2:19" ht="12.75">
      <c r="B40" t="s">
        <v>235</v>
      </c>
      <c r="C40" s="19">
        <v>26</v>
      </c>
      <c r="D40" s="19">
        <v>2039</v>
      </c>
      <c r="F40" s="31">
        <f t="shared" si="0"/>
        <v>0.141058280431541</v>
      </c>
      <c r="H40" s="30"/>
      <c r="I40" s="30">
        <f>$F40*'Table 10B LCOE Gas after-tax'!G40</f>
        <v>2.3341593264921077</v>
      </c>
      <c r="J40" s="30">
        <f>$F40*'Table 10B LCOE Gas after-tax'!H40</f>
        <v>3.9796402611414816</v>
      </c>
      <c r="K40" s="30">
        <f>$F40*'Table 10B LCOE Gas after-tax'!I40</f>
        <v>95.20760629023496</v>
      </c>
      <c r="L40" s="30">
        <f>$F40*'Table 10B LCOE Gas after-tax'!J40</f>
        <v>101.52140587786856</v>
      </c>
      <c r="M40" s="20"/>
      <c r="O40" s="27"/>
      <c r="P40" s="27"/>
      <c r="R40" s="3"/>
      <c r="S40" s="3"/>
    </row>
    <row r="41" spans="2:19" ht="12.75">
      <c r="B41" t="s">
        <v>236</v>
      </c>
      <c r="C41" s="19">
        <v>27</v>
      </c>
      <c r="D41" s="19">
        <v>2040</v>
      </c>
      <c r="F41" s="31">
        <f t="shared" si="0"/>
        <v>0.1308227114849579</v>
      </c>
      <c r="H41" s="30"/>
      <c r="I41" s="30">
        <f>$F41*'Table 10B LCOE Gas after-tax'!G41</f>
        <v>2.2297300288311237</v>
      </c>
      <c r="J41" s="30">
        <f>$F41*'Table 10B LCOE Gas after-tax'!H41</f>
        <v>3.839608773246664</v>
      </c>
      <c r="K41" s="30">
        <f>$F41*'Table 10B LCOE Gas after-tax'!I41</f>
        <v>91.40279868242388</v>
      </c>
      <c r="L41" s="30">
        <f>$F41*'Table 10B LCOE Gas after-tax'!J41</f>
        <v>97.47213748450166</v>
      </c>
      <c r="M41" s="20"/>
      <c r="O41" s="27"/>
      <c r="P41" s="27"/>
      <c r="R41" s="3"/>
      <c r="S41" s="3"/>
    </row>
    <row r="42" spans="2:19" ht="12.75">
      <c r="B42" t="s">
        <v>237</v>
      </c>
      <c r="C42" s="19">
        <v>28</v>
      </c>
      <c r="D42" s="19">
        <v>2041</v>
      </c>
      <c r="F42" s="31">
        <f t="shared" si="0"/>
        <v>0.12132986300355939</v>
      </c>
      <c r="H42" s="30"/>
      <c r="I42" s="30">
        <f>$F42*'Table 10B LCOE Gas after-tax'!G42</f>
        <v>2.1299728536281877</v>
      </c>
      <c r="J42" s="30">
        <f>$F42*'Table 10B LCOE Gas after-tax'!H42</f>
        <v>3.7045045693060024</v>
      </c>
      <c r="K42" s="30">
        <f>$F42*'Table 10B LCOE Gas after-tax'!I42</f>
        <v>87.75004364159284</v>
      </c>
      <c r="L42" s="30">
        <f>$F42*'Table 10B LCOE Gas after-tax'!J42</f>
        <v>93.58452106452704</v>
      </c>
      <c r="M42" s="20"/>
      <c r="O42" s="27"/>
      <c r="P42" s="27"/>
      <c r="R42" s="3"/>
      <c r="S42" s="3"/>
    </row>
    <row r="43" spans="2:19" ht="12.75">
      <c r="B43" t="s">
        <v>238</v>
      </c>
      <c r="C43" s="19">
        <v>29</v>
      </c>
      <c r="D43" s="19">
        <v>2042</v>
      </c>
      <c r="F43" s="31">
        <f t="shared" si="0"/>
        <v>0.11252584118893696</v>
      </c>
      <c r="H43" s="30"/>
      <c r="I43" s="30">
        <f>$F43*'Table 10B LCOE Gas after-tax'!G43</f>
        <v>2.034678772107354</v>
      </c>
      <c r="J43" s="30">
        <f>$F43*'Table 10B LCOE Gas after-tax'!H43</f>
        <v>3.5741542731201172</v>
      </c>
      <c r="K43" s="30">
        <f>$F43*'Table 10B LCOE Gas after-tax'!I43</f>
        <v>84.2432646494239</v>
      </c>
      <c r="L43" s="30">
        <f>$F43*'Table 10B LCOE Gas after-tax'!J43</f>
        <v>89.85209769465138</v>
      </c>
      <c r="M43" s="20"/>
      <c r="O43" s="27"/>
      <c r="P43" s="27"/>
      <c r="R43" s="3"/>
      <c r="S43" s="3"/>
    </row>
    <row r="44" spans="2:19" ht="12.75">
      <c r="B44" t="s">
        <v>239</v>
      </c>
      <c r="C44" s="19">
        <v>30</v>
      </c>
      <c r="D44" s="19">
        <v>2043</v>
      </c>
      <c r="F44" s="31">
        <f t="shared" si="0"/>
        <v>0.10436066292192551</v>
      </c>
      <c r="H44" s="30"/>
      <c r="I44" s="30">
        <f>$F44*'Table 10B LCOE Gas after-tax'!G44</f>
        <v>1.9436481073514014</v>
      </c>
      <c r="J44" s="30">
        <f>$F44*'Table 10B LCOE Gas after-tax'!H44</f>
        <v>3.4483906090729866</v>
      </c>
      <c r="K44" s="30">
        <f>$F44*'Table 10B LCOE Gas after-tax'!I44</f>
        <v>80.87662802516246</v>
      </c>
      <c r="L44" s="30">
        <f>$F44*'Table 10B LCOE Gas after-tax'!J44</f>
        <v>86.26866674158684</v>
      </c>
      <c r="M44" s="20"/>
      <c r="O44" s="27"/>
      <c r="P44" s="27"/>
      <c r="R44" s="3"/>
      <c r="S44" s="3"/>
    </row>
    <row r="45" spans="2:19" ht="12.75">
      <c r="B45" t="s">
        <v>240</v>
      </c>
      <c r="C45" s="19">
        <v>31</v>
      </c>
      <c r="D45" s="19">
        <v>2044</v>
      </c>
      <c r="F45" s="31">
        <f t="shared" si="0"/>
        <v>0.09678797199317918</v>
      </c>
      <c r="H45" s="30"/>
      <c r="I45" s="30">
        <f>$F45*'Table 10B LCOE Gas after-tax'!G45</f>
        <v>1.8566901159036422</v>
      </c>
      <c r="J45" s="30">
        <f>$F45*'Table 10B LCOE Gas after-tax'!H45</f>
        <v>3.3270521874709043</v>
      </c>
      <c r="K45" s="30">
        <f>$F45*'Table 10B LCOE Gas after-tax'!I45</f>
        <v>77.64453322103327</v>
      </c>
      <c r="L45" s="30">
        <f>$F45*'Table 10B LCOE Gas after-tax'!J45</f>
        <v>82.82827552440781</v>
      </c>
      <c r="M45" s="20"/>
      <c r="O45" s="27"/>
      <c r="P45" s="27"/>
      <c r="R45" s="3"/>
      <c r="S45" s="3"/>
    </row>
    <row r="46" spans="2:19" ht="12.75">
      <c r="B46" t="s">
        <v>241</v>
      </c>
      <c r="C46" s="19">
        <v>32</v>
      </c>
      <c r="D46" s="19">
        <v>2045</v>
      </c>
      <c r="F46" s="31">
        <f t="shared" si="0"/>
        <v>0.08976477592482116</v>
      </c>
      <c r="H46" s="30"/>
      <c r="I46" s="30">
        <f>$F46*'Table 10B LCOE Gas after-tax'!G46</f>
        <v>1.773622588088692</v>
      </c>
      <c r="J46" s="30">
        <f>$F46*'Table 10B LCOE Gas after-tax'!H46</f>
        <v>3.2099832974346914</v>
      </c>
      <c r="K46" s="30">
        <f>$F46*'Table 10B LCOE Gas after-tax'!I46</f>
        <v>74.54160350548355</v>
      </c>
      <c r="L46" s="30">
        <f>$F46*'Table 10B LCOE Gas after-tax'!J46</f>
        <v>79.52520939100694</v>
      </c>
      <c r="M46" s="20"/>
      <c r="O46" s="27"/>
      <c r="P46" s="27"/>
      <c r="R46" s="3"/>
      <c r="S46" s="3"/>
    </row>
    <row r="47" spans="2:19" ht="12.75">
      <c r="B47" t="s">
        <v>242</v>
      </c>
      <c r="C47" s="19">
        <v>33</v>
      </c>
      <c r="D47" s="19">
        <v>2046</v>
      </c>
      <c r="F47" s="31">
        <f t="shared" si="0"/>
        <v>0.08325120188902391</v>
      </c>
      <c r="H47" s="30"/>
      <c r="I47" s="30">
        <f>$F47*'Table 10B LCOE Gas after-tax'!G47</f>
        <v>1.6942714662147134</v>
      </c>
      <c r="J47" s="30">
        <f>$F47*'Table 10B LCOE Gas after-tax'!H47</f>
        <v>3.097033707079415</v>
      </c>
      <c r="K47" s="30">
        <f>$F47*'Table 10B LCOE Gas after-tax'!I47</f>
        <v>71.56267701875399</v>
      </c>
      <c r="L47" s="30">
        <f>$F47*'Table 10B LCOE Gas after-tax'!J47</f>
        <v>76.35398219204811</v>
      </c>
      <c r="M47" s="20"/>
      <c r="O47" s="27"/>
      <c r="P47" s="27"/>
      <c r="R47" s="3"/>
      <c r="S47" s="3"/>
    </row>
    <row r="48" spans="2:19" ht="12.75">
      <c r="B48" t="s">
        <v>243</v>
      </c>
      <c r="C48" s="19">
        <v>34</v>
      </c>
      <c r="D48" s="19">
        <v>2047</v>
      </c>
      <c r="F48" s="31">
        <f t="shared" si="0"/>
        <v>0.07721027033779485</v>
      </c>
      <c r="H48" s="30"/>
      <c r="I48" s="30">
        <f>$F48*'Table 10B LCOE Gas after-tax'!G48</f>
        <v>1.6184704798571325</v>
      </c>
      <c r="J48" s="30">
        <f>$F48*'Table 10B LCOE Gas after-tax'!H48</f>
        <v>2.988058470725178</v>
      </c>
      <c r="K48" s="30">
        <f>$F48*'Table 10B LCOE Gas after-tax'!I48</f>
        <v>68.70279818589849</v>
      </c>
      <c r="L48" s="30">
        <f>$F48*'Table 10B LCOE Gas after-tax'!J48</f>
        <v>73.30932713648079</v>
      </c>
      <c r="M48" s="20"/>
      <c r="O48" s="27"/>
      <c r="P48" s="27"/>
      <c r="R48" s="3"/>
      <c r="S48" s="3"/>
    </row>
    <row r="49" spans="2:19" ht="12.75">
      <c r="B49" t="s">
        <v>244</v>
      </c>
      <c r="C49" s="19">
        <v>35</v>
      </c>
      <c r="D49" s="19">
        <v>2048</v>
      </c>
      <c r="F49" s="31">
        <f t="shared" si="0"/>
        <v>0.07160768505879475</v>
      </c>
      <c r="H49" s="30"/>
      <c r="I49" s="30">
        <f>$F49*'Table 10B LCOE Gas after-tax'!G49</f>
        <v>1.5460607974596072</v>
      </c>
      <c r="J49" s="30">
        <f>$F49*'Table 10B LCOE Gas after-tax'!H49</f>
        <v>2.882917742891566</v>
      </c>
      <c r="K49" s="30">
        <f>$F49*'Table 10B LCOE Gas after-tax'!I49</f>
        <v>65.95720947296782</v>
      </c>
      <c r="L49" s="30">
        <f>$F49*'Table 10B LCOE Gas after-tax'!J49</f>
        <v>70.386188013319</v>
      </c>
      <c r="M49" s="20"/>
      <c r="O49" s="27"/>
      <c r="P49" s="27"/>
      <c r="R49" s="3"/>
      <c r="S49" s="3"/>
    </row>
    <row r="50" spans="2:19" ht="12.75">
      <c r="B50" t="s">
        <v>245</v>
      </c>
      <c r="C50" s="19">
        <v>36</v>
      </c>
      <c r="D50" s="19">
        <v>2049</v>
      </c>
      <c r="F50" s="31">
        <f t="shared" si="0"/>
        <v>0.06641163846527186</v>
      </c>
      <c r="H50" s="30"/>
      <c r="I50" s="30">
        <f>$F50*'Table 10B LCOE Gas after-tax'!G50</f>
        <v>1.4768906935222166</v>
      </c>
      <c r="J50" s="30">
        <f>$F50*'Table 10B LCOE Gas after-tax'!H50</f>
        <v>2.781476598837082</v>
      </c>
      <c r="K50" s="30">
        <f>$F50*'Table 10B LCOE Gas after-tax'!I50</f>
        <v>63.32134347264303</v>
      </c>
      <c r="L50" s="30">
        <f>$F50*'Table 10B LCOE Gas after-tax'!J50</f>
        <v>67.57971076500233</v>
      </c>
      <c r="M50" s="20"/>
      <c r="O50" s="27"/>
      <c r="P50" s="27"/>
      <c r="R50" s="3"/>
      <c r="S50" s="3"/>
    </row>
    <row r="51" spans="2:19" ht="12.75">
      <c r="B51" t="s">
        <v>246</v>
      </c>
      <c r="C51" s="19">
        <v>37</v>
      </c>
      <c r="D51" s="19">
        <v>2050</v>
      </c>
      <c r="F51" s="31">
        <f t="shared" si="0"/>
        <v>0.06159263101468307</v>
      </c>
      <c r="H51" s="30"/>
      <c r="I51" s="30">
        <f>$F51*'Table 10B LCOE Gas after-tax'!G51</f>
        <v>1.4108152306795176</v>
      </c>
      <c r="J51" s="30">
        <f>$F51*'Table 10B LCOE Gas after-tax'!H51</f>
        <v>2.683604861413245</v>
      </c>
      <c r="K51" s="30">
        <f>$F51*'Table 10B LCOE Gas after-tax'!I51</f>
        <v>60.790815306153036</v>
      </c>
      <c r="L51" s="30">
        <f>$F51*'Table 10B LCOE Gas after-tax'!J51</f>
        <v>64.8852353982458</v>
      </c>
      <c r="M51" s="20"/>
      <c r="O51" s="27"/>
      <c r="P51" s="27"/>
      <c r="R51" s="3"/>
      <c r="S51" s="3"/>
    </row>
    <row r="52" spans="2:19" ht="12.75">
      <c r="B52" t="s">
        <v>247</v>
      </c>
      <c r="C52" s="19">
        <v>38</v>
      </c>
      <c r="D52" s="19">
        <v>2051</v>
      </c>
      <c r="F52" s="31">
        <f t="shared" si="0"/>
        <v>0.05712330373078633</v>
      </c>
      <c r="H52" s="30"/>
      <c r="I52" s="30">
        <f>$F52*'Table 10B LCOE Gas after-tax'!G52</f>
        <v>1.347695956002284</v>
      </c>
      <c r="J52" s="30">
        <f>$F52*'Table 10B LCOE Gas after-tax'!H52</f>
        <v>2.5891769340111637</v>
      </c>
      <c r="K52" s="30">
        <f>$F52*'Table 10B LCOE Gas after-tax'!I52</f>
        <v>58.36141532883616</v>
      </c>
      <c r="L52" s="30">
        <f>$F52*'Table 10B LCOE Gas after-tax'!J52</f>
        <v>62.29828821884961</v>
      </c>
      <c r="M52" s="20"/>
      <c r="O52" s="27"/>
      <c r="P52" s="27"/>
      <c r="R52" s="3"/>
      <c r="S52" s="3"/>
    </row>
    <row r="53" spans="2:19" ht="12.75">
      <c r="B53" t="s">
        <v>248</v>
      </c>
      <c r="C53" s="19">
        <v>39</v>
      </c>
      <c r="D53" s="19">
        <v>2052</v>
      </c>
      <c r="F53" s="31">
        <f t="shared" si="0"/>
        <v>0.052978282878381744</v>
      </c>
      <c r="H53" s="30"/>
      <c r="I53" s="30">
        <f>$F53*'Table 10B LCOE Gas after-tax'!G53</f>
        <v>1.2874006108865863</v>
      </c>
      <c r="J53" s="30">
        <f>$F53*'Table 10B LCOE Gas after-tax'!H53</f>
        <v>2.498071639386235</v>
      </c>
      <c r="K53" s="30">
        <f>$F53*'Table 10B LCOE Gas after-tax'!I53</f>
        <v>56.0291021272117</v>
      </c>
      <c r="L53" s="30">
        <f>$F53*'Table 10B LCOE Gas after-tax'!J53</f>
        <v>59.81457437748452</v>
      </c>
      <c r="M53" s="20"/>
      <c r="O53" s="27"/>
      <c r="P53" s="27"/>
      <c r="R53" s="3"/>
      <c r="S53" s="3"/>
    </row>
    <row r="54" spans="2:19" ht="12.75">
      <c r="B54" t="s">
        <v>249</v>
      </c>
      <c r="C54" s="19">
        <v>40</v>
      </c>
      <c r="D54" s="19">
        <v>2053</v>
      </c>
      <c r="F54" s="31">
        <f t="shared" si="0"/>
        <v>0.04913403590887162</v>
      </c>
      <c r="H54" s="30"/>
      <c r="I54" s="30">
        <f>$F54*'Table 10B LCOE Gas after-tax'!G54</f>
        <v>1.2298028539223027</v>
      </c>
      <c r="J54" s="30">
        <f>$F54*'Table 10B LCOE Gas after-tax'!H54</f>
        <v>2.410172064154085</v>
      </c>
      <c r="K54" s="30">
        <f>$F54*'Table 10B LCOE Gas after-tax'!I54</f>
        <v>53.7899957959111</v>
      </c>
      <c r="L54" s="30">
        <f>$F54*'Table 10B LCOE Gas after-tax'!J54</f>
        <v>57.429970713987494</v>
      </c>
      <c r="M54" s="20"/>
      <c r="O54" s="27"/>
      <c r="P54" s="27"/>
      <c r="R54" s="3"/>
      <c r="S54" s="3"/>
    </row>
    <row r="55" spans="2:18" ht="12.75">
      <c r="B55" s="76"/>
      <c r="C55" s="11"/>
      <c r="D55" s="11"/>
      <c r="E55" s="12"/>
      <c r="F55" s="12"/>
      <c r="G55" s="12"/>
      <c r="H55" s="12"/>
      <c r="I55" s="12"/>
      <c r="J55" s="12"/>
      <c r="K55" s="12"/>
      <c r="L55" s="12"/>
      <c r="M55" s="37"/>
      <c r="N55" s="37"/>
      <c r="O55" s="37"/>
      <c r="P55" s="37"/>
      <c r="Q55" s="37"/>
      <c r="R55" s="37"/>
    </row>
    <row r="56" spans="2:18" ht="12.75">
      <c r="B56" s="46"/>
      <c r="C56" s="38"/>
      <c r="D56" s="38"/>
      <c r="E56" s="37"/>
      <c r="F56" s="37"/>
      <c r="G56" s="37"/>
      <c r="H56" s="37"/>
      <c r="I56" s="37"/>
      <c r="J56" s="37"/>
      <c r="K56" s="37"/>
      <c r="L56" s="37"/>
      <c r="M56" s="37"/>
      <c r="N56" s="37"/>
      <c r="O56" s="37"/>
      <c r="P56" s="37"/>
      <c r="Q56" s="37"/>
      <c r="R56" s="37"/>
    </row>
    <row r="57" spans="1:18" ht="12.75">
      <c r="A57"/>
      <c r="B57" t="s">
        <v>250</v>
      </c>
      <c r="C57" s="83" t="s">
        <v>350</v>
      </c>
      <c r="D57" s="38"/>
      <c r="E57" s="37"/>
      <c r="F57" s="37"/>
      <c r="G57" s="37"/>
      <c r="H57" s="84">
        <f>SUM(H9:H54)</f>
        <v>821.9573966283252</v>
      </c>
      <c r="I57" s="84">
        <f>SUM(I9:I54)</f>
        <v>137.57198423881084</v>
      </c>
      <c r="J57" s="84">
        <f>SUM(J9:J54)</f>
        <v>210.85227111293148</v>
      </c>
      <c r="K57" s="84">
        <f>SUM(K9:K54)</f>
        <v>5311.915893214655</v>
      </c>
      <c r="L57" s="84">
        <f>SUM(L9:L54)</f>
        <v>6482.29754519472</v>
      </c>
      <c r="M57" s="37"/>
      <c r="N57" s="37"/>
      <c r="O57" s="84"/>
      <c r="P57" s="84"/>
      <c r="Q57" s="37"/>
      <c r="R57" s="37"/>
    </row>
    <row r="58" spans="1:18" ht="12.75">
      <c r="A58"/>
      <c r="B58" t="s">
        <v>20</v>
      </c>
      <c r="C58" s="83" t="s">
        <v>118</v>
      </c>
      <c r="D58" s="38"/>
      <c r="E58" s="37"/>
      <c r="F58" s="37"/>
      <c r="G58" s="37"/>
      <c r="H58" s="104">
        <f>H57/$L57</f>
        <v>0.12680031900689845</v>
      </c>
      <c r="I58" s="104">
        <f>I57/$L57</f>
        <v>0.021222719765585575</v>
      </c>
      <c r="J58" s="104">
        <f>J57/$L57</f>
        <v>0.032527397831226476</v>
      </c>
      <c r="K58" s="104">
        <f>K57/$L57</f>
        <v>0.8194495633962898</v>
      </c>
      <c r="L58" s="84"/>
      <c r="M58" s="37"/>
      <c r="N58" s="37"/>
      <c r="O58" s="84"/>
      <c r="P58" s="84"/>
      <c r="Q58" s="37"/>
      <c r="R58" s="37"/>
    </row>
    <row r="59" spans="1:18" ht="12.75">
      <c r="A59"/>
      <c r="B59" s="37"/>
      <c r="C59" s="95"/>
      <c r="D59" s="11"/>
      <c r="E59" s="12"/>
      <c r="F59" s="12"/>
      <c r="G59" s="12"/>
      <c r="H59" s="105"/>
      <c r="I59" s="105"/>
      <c r="J59" s="105"/>
      <c r="K59" s="105"/>
      <c r="L59" s="91"/>
      <c r="M59" s="37"/>
      <c r="N59" s="37"/>
      <c r="O59" s="84"/>
      <c r="P59" s="84"/>
      <c r="Q59" s="37"/>
      <c r="R59" s="37"/>
    </row>
    <row r="60" spans="1:18" ht="12.75">
      <c r="A60"/>
      <c r="B60"/>
      <c r="C60" s="83"/>
      <c r="D60" s="38"/>
      <c r="E60" s="37"/>
      <c r="F60" s="37"/>
      <c r="G60" s="37"/>
      <c r="H60" s="84"/>
      <c r="I60" s="84"/>
      <c r="J60" s="84"/>
      <c r="K60" s="84"/>
      <c r="L60" s="84"/>
      <c r="M60" s="37"/>
      <c r="N60" s="37"/>
      <c r="O60" s="84"/>
      <c r="P60" s="84"/>
      <c r="Q60" s="37"/>
      <c r="R60" s="37"/>
    </row>
    <row r="61" spans="1:18" ht="12.75">
      <c r="A61"/>
      <c r="B61" t="s">
        <v>21</v>
      </c>
      <c r="C61" s="83" t="s">
        <v>22</v>
      </c>
      <c r="D61" s="38"/>
      <c r="E61" s="37"/>
      <c r="F61" s="37"/>
      <c r="G61" s="37"/>
      <c r="H61" s="84">
        <f>H57/((1+'Table 5 LCOE inputs'!$K$28)^(2013-2007))</f>
        <v>523.0662198799421</v>
      </c>
      <c r="I61" s="84">
        <f>I57/((1+'Table 5 LCOE inputs'!$K$28)^(2013-2007))</f>
        <v>87.54621352925969</v>
      </c>
      <c r="J61" s="84">
        <f>J57/((1+'Table 5 LCOE inputs'!$K$28)^(2013-2007))</f>
        <v>134.17933929002996</v>
      </c>
      <c r="K61" s="84">
        <f>K57/((1+'Table 5 LCOE inputs'!$K$28)^(2013-2007))</f>
        <v>3380.3257662517967</v>
      </c>
      <c r="L61" s="84">
        <f>L57/((1+'Table 5 LCOE inputs'!$K$28)^(2013-2007))</f>
        <v>4125.117538951027</v>
      </c>
      <c r="M61" s="37"/>
      <c r="N61" s="37"/>
      <c r="O61" s="84"/>
      <c r="P61" s="84"/>
      <c r="Q61" s="37"/>
      <c r="R61" s="37"/>
    </row>
    <row r="62" spans="1:18" ht="13.5" thickBot="1">
      <c r="A62"/>
      <c r="B62" s="86"/>
      <c r="C62" s="87"/>
      <c r="D62" s="75"/>
      <c r="E62" s="9"/>
      <c r="F62" s="9"/>
      <c r="G62" s="9"/>
      <c r="H62" s="94"/>
      <c r="I62" s="94"/>
      <c r="J62" s="94"/>
      <c r="K62" s="94"/>
      <c r="L62" s="89"/>
      <c r="M62" s="9"/>
      <c r="N62" s="37"/>
      <c r="O62" s="104"/>
      <c r="P62" s="104"/>
      <c r="Q62" s="37"/>
      <c r="R62" s="37"/>
    </row>
    <row r="63" spans="1:16" ht="12.75">
      <c r="A63"/>
      <c r="B63" s="15"/>
      <c r="C63" s="32"/>
      <c r="H63" s="35"/>
      <c r="I63" s="35"/>
      <c r="J63" s="35"/>
      <c r="K63" s="35"/>
      <c r="L63" s="34"/>
      <c r="O63" s="35"/>
      <c r="P63" s="35"/>
    </row>
    <row r="64" spans="1:16" ht="12.75">
      <c r="A64"/>
      <c r="B64" s="15" t="s">
        <v>177</v>
      </c>
      <c r="H64" s="35"/>
      <c r="I64" s="35"/>
      <c r="J64" s="35"/>
      <c r="K64" s="35"/>
      <c r="L64" s="34"/>
      <c r="O64" s="35"/>
      <c r="P64" s="35"/>
    </row>
    <row r="65" spans="1:16" ht="12.75">
      <c r="A65"/>
      <c r="B65" s="15" t="s">
        <v>155</v>
      </c>
      <c r="C65" s="99" t="s">
        <v>453</v>
      </c>
      <c r="H65" s="35"/>
      <c r="I65" s="35"/>
      <c r="J65" s="35"/>
      <c r="K65" s="35"/>
      <c r="L65" s="34"/>
      <c r="O65" s="35"/>
      <c r="P65" s="35"/>
    </row>
    <row r="66" spans="1:3" ht="12.75">
      <c r="A66"/>
      <c r="B66" s="15" t="s">
        <v>156</v>
      </c>
      <c r="C66" s="99" t="s">
        <v>591</v>
      </c>
    </row>
    <row r="67" spans="1:16" ht="12.75">
      <c r="A67"/>
      <c r="B67" s="15" t="s">
        <v>157</v>
      </c>
      <c r="C67" s="99" t="s">
        <v>592</v>
      </c>
      <c r="O67" s="39"/>
      <c r="P67" s="39"/>
    </row>
    <row r="68" spans="1:3" ht="12.75">
      <c r="A68"/>
      <c r="B68" s="15" t="s">
        <v>158</v>
      </c>
      <c r="C68" s="99" t="s">
        <v>593</v>
      </c>
    </row>
    <row r="69" spans="1:3" ht="12.75">
      <c r="A69"/>
      <c r="B69" s="15" t="s">
        <v>159</v>
      </c>
      <c r="C69" s="99" t="s">
        <v>594</v>
      </c>
    </row>
    <row r="70" spans="1:3" ht="12.75">
      <c r="A70"/>
      <c r="B70" s="15" t="s">
        <v>210</v>
      </c>
      <c r="C70" s="99" t="s">
        <v>23</v>
      </c>
    </row>
    <row r="71" spans="1:3" ht="12.75">
      <c r="A71"/>
      <c r="B71" s="15" t="s">
        <v>250</v>
      </c>
      <c r="C71" s="99" t="s">
        <v>454</v>
      </c>
    </row>
    <row r="72" spans="1:3" ht="12.75">
      <c r="A72"/>
      <c r="B72" s="15" t="s">
        <v>455</v>
      </c>
      <c r="C72" s="99" t="s">
        <v>456</v>
      </c>
    </row>
    <row r="73" spans="1:3" ht="12.75">
      <c r="A73"/>
      <c r="B73" s="15" t="s">
        <v>21</v>
      </c>
      <c r="C73" s="99" t="s">
        <v>457</v>
      </c>
    </row>
    <row r="74" spans="1:2" ht="12.75">
      <c r="A74"/>
      <c r="B74"/>
    </row>
    <row r="75" spans="1:2" ht="12.75">
      <c r="A75"/>
      <c r="B75"/>
    </row>
    <row r="76" spans="1:2" ht="12.75">
      <c r="A76"/>
      <c r="B76"/>
    </row>
    <row r="77" spans="1:2" ht="12.75">
      <c r="A77"/>
      <c r="B77"/>
    </row>
    <row r="78" spans="1:2" ht="12.75">
      <c r="A78"/>
      <c r="B78"/>
    </row>
    <row r="79" spans="1:2" ht="12.75">
      <c r="A79"/>
      <c r="B79"/>
    </row>
    <row r="80" spans="1:2" ht="12.75">
      <c r="A80"/>
      <c r="B80"/>
    </row>
    <row r="81" spans="1:2" ht="12.75">
      <c r="A81"/>
      <c r="B81"/>
    </row>
    <row r="82" spans="1:2" ht="12.75">
      <c r="A82"/>
      <c r="B82"/>
    </row>
    <row r="83" spans="1:2" ht="12.75">
      <c r="A83"/>
      <c r="B83"/>
    </row>
    <row r="84" spans="1:2" ht="12.75">
      <c r="A84"/>
      <c r="B84"/>
    </row>
    <row r="85" spans="1:2" ht="12.75">
      <c r="A85"/>
      <c r="B85"/>
    </row>
    <row r="86" spans="1:2" ht="12.75">
      <c r="A86"/>
      <c r="B86"/>
    </row>
    <row r="87" spans="1:2" ht="12.75">
      <c r="A87"/>
      <c r="B87"/>
    </row>
    <row r="88" spans="1:2" ht="12.75">
      <c r="A88"/>
      <c r="B88"/>
    </row>
    <row r="89" spans="1:2" ht="12.75">
      <c r="A89"/>
      <c r="B89"/>
    </row>
    <row r="90" spans="1:2" ht="12.75">
      <c r="A90"/>
      <c r="B90"/>
    </row>
    <row r="91" spans="1:2" ht="12.75">
      <c r="A91"/>
      <c r="B91"/>
    </row>
    <row r="92" spans="1:2" ht="12.75">
      <c r="A92"/>
      <c r="B92"/>
    </row>
    <row r="93" spans="1:2" ht="12.75">
      <c r="A93"/>
      <c r="B93"/>
    </row>
    <row r="94" spans="1:2" ht="12.75">
      <c r="A94"/>
      <c r="B94"/>
    </row>
    <row r="95" spans="1:2" ht="12.75">
      <c r="A95"/>
      <c r="B95"/>
    </row>
    <row r="96" spans="1:2" ht="12.75">
      <c r="A96"/>
      <c r="B96"/>
    </row>
    <row r="97" spans="1:2" ht="12.75">
      <c r="A97"/>
      <c r="B97"/>
    </row>
    <row r="98" spans="1:2" ht="12.75">
      <c r="A98"/>
      <c r="B98"/>
    </row>
    <row r="99" spans="1:2" ht="12.75">
      <c r="A99"/>
      <c r="B99"/>
    </row>
    <row r="100" spans="1:2" ht="12.75">
      <c r="A100"/>
      <c r="B100"/>
    </row>
    <row r="101" spans="1:2" ht="12.75">
      <c r="A101"/>
      <c r="B101"/>
    </row>
    <row r="102" spans="1:2" ht="12.75">
      <c r="A102"/>
      <c r="B102"/>
    </row>
    <row r="103" spans="1:2" ht="12.75">
      <c r="A103"/>
      <c r="B103"/>
    </row>
    <row r="104" spans="1:2" ht="12.75">
      <c r="A104"/>
      <c r="B104"/>
    </row>
    <row r="105" spans="1:2" ht="12.75">
      <c r="A105"/>
      <c r="B105"/>
    </row>
    <row r="106" spans="1:2" ht="12.75">
      <c r="A106"/>
      <c r="B106"/>
    </row>
    <row r="107" spans="1:2" ht="12.75">
      <c r="A107"/>
      <c r="B107"/>
    </row>
    <row r="108" spans="1:2" ht="12.75">
      <c r="A108"/>
      <c r="B108"/>
    </row>
    <row r="109" spans="1:2" ht="12.75">
      <c r="A109"/>
      <c r="B109"/>
    </row>
    <row r="110" spans="1:2" ht="12.75">
      <c r="A110"/>
      <c r="B110"/>
    </row>
    <row r="111" spans="1:2" ht="12.75">
      <c r="A111"/>
      <c r="B111"/>
    </row>
    <row r="112" spans="1:2" ht="12.75">
      <c r="A112"/>
      <c r="B112"/>
    </row>
    <row r="113" spans="1:2" ht="12.75">
      <c r="A113"/>
      <c r="B113"/>
    </row>
    <row r="114" spans="1:2" ht="12.75">
      <c r="A114"/>
      <c r="B114" s="15"/>
    </row>
    <row r="115" ht="12.75">
      <c r="B115" s="15"/>
    </row>
    <row r="116" ht="12.75">
      <c r="B116" s="15"/>
    </row>
    <row r="117" ht="12.75">
      <c r="B117" s="15"/>
    </row>
  </sheetData>
  <sheetProtection/>
  <printOptions horizontalCentered="1"/>
  <pageMargins left="0.75" right="0.5" top="1" bottom="1" header="0.5" footer="0.5"/>
  <pageSetup fitToHeight="2" orientation="portrait" scale="89" r:id="rId1"/>
  <rowBreaks count="1" manualBreakCount="1">
    <brk id="34" max="12" man="1"/>
  </rowBreaks>
</worksheet>
</file>

<file path=xl/worksheets/sheet2.xml><?xml version="1.0" encoding="utf-8"?>
<worksheet xmlns="http://schemas.openxmlformats.org/spreadsheetml/2006/main" xmlns:r="http://schemas.openxmlformats.org/officeDocument/2006/relationships">
  <sheetPr>
    <pageSetUpPr fitToPage="1"/>
  </sheetPr>
  <dimension ref="A2:Q29"/>
  <sheetViews>
    <sheetView workbookViewId="0" topLeftCell="A1">
      <selection activeCell="N11" sqref="N11"/>
    </sheetView>
  </sheetViews>
  <sheetFormatPr defaultColWidth="8.8515625" defaultRowHeight="12.75"/>
  <cols>
    <col min="1" max="1" width="2.57421875" style="0" customWidth="1"/>
    <col min="2" max="2" width="4.28125" style="0" customWidth="1"/>
    <col min="3" max="4" width="11.7109375" style="0" customWidth="1"/>
    <col min="5" max="5" width="12.7109375" style="0" customWidth="1"/>
    <col min="6" max="8" width="11.7109375" style="0" customWidth="1"/>
    <col min="9" max="9" width="2.8515625" style="0" customWidth="1"/>
    <col min="10" max="10" width="11.7109375" style="0" customWidth="1"/>
    <col min="11" max="11" width="12.7109375" style="0" customWidth="1"/>
    <col min="12" max="14" width="11.7109375" style="0" customWidth="1"/>
    <col min="15" max="15" width="2.8515625" style="0" customWidth="1"/>
  </cols>
  <sheetData>
    <row r="2" spans="1:15" ht="16.5" thickBot="1">
      <c r="A2" s="9"/>
      <c r="B2" s="10" t="s">
        <v>299</v>
      </c>
      <c r="C2" s="9"/>
      <c r="D2" s="9"/>
      <c r="E2" s="9"/>
      <c r="F2" s="9"/>
      <c r="G2" s="9"/>
      <c r="H2" s="9"/>
      <c r="I2" s="9"/>
      <c r="J2" s="9"/>
      <c r="K2" s="9"/>
      <c r="L2" s="9"/>
      <c r="M2" s="9"/>
      <c r="N2" s="9"/>
      <c r="O2" s="9"/>
    </row>
    <row r="3" ht="12.75">
      <c r="B3" s="193"/>
    </row>
    <row r="4" spans="2:14" ht="12.75">
      <c r="B4" s="194"/>
      <c r="D4" s="111" t="s">
        <v>290</v>
      </c>
      <c r="E4" s="111"/>
      <c r="F4" s="111"/>
      <c r="G4" s="111"/>
      <c r="H4" s="111"/>
      <c r="I4" t="s">
        <v>291</v>
      </c>
      <c r="J4" s="111" t="s">
        <v>292</v>
      </c>
      <c r="K4" s="111"/>
      <c r="L4" s="111"/>
      <c r="M4" s="155"/>
      <c r="N4" s="155"/>
    </row>
    <row r="5" spans="2:14" ht="21.75" customHeight="1">
      <c r="B5" s="194"/>
      <c r="D5" s="155"/>
      <c r="E5" s="155"/>
      <c r="F5" s="156" t="s">
        <v>280</v>
      </c>
      <c r="G5" s="156"/>
      <c r="H5" s="156"/>
      <c r="J5" s="155"/>
      <c r="K5" s="155"/>
      <c r="L5" s="156" t="s">
        <v>280</v>
      </c>
      <c r="M5" s="156"/>
      <c r="N5" s="156"/>
    </row>
    <row r="6" spans="2:14" s="17" customFormat="1" ht="38.25">
      <c r="B6" s="195"/>
      <c r="D6" s="110" t="s">
        <v>178</v>
      </c>
      <c r="E6" s="110" t="s">
        <v>491</v>
      </c>
      <c r="F6" s="110" t="s">
        <v>365</v>
      </c>
      <c r="G6" s="110" t="s">
        <v>366</v>
      </c>
      <c r="H6" s="110" t="s">
        <v>367</v>
      </c>
      <c r="J6" s="110" t="s">
        <v>178</v>
      </c>
      <c r="K6" s="110" t="s">
        <v>491</v>
      </c>
      <c r="L6" s="110" t="s">
        <v>365</v>
      </c>
      <c r="M6" s="110" t="s">
        <v>366</v>
      </c>
      <c r="N6" s="110" t="s">
        <v>367</v>
      </c>
    </row>
    <row r="7" spans="2:14" s="17" customFormat="1" ht="12.75">
      <c r="B7" s="195"/>
      <c r="D7" s="110" t="s">
        <v>296</v>
      </c>
      <c r="E7" s="110" t="s">
        <v>617</v>
      </c>
      <c r="F7" s="18" t="s">
        <v>297</v>
      </c>
      <c r="G7" s="18" t="s">
        <v>297</v>
      </c>
      <c r="H7" s="18" t="s">
        <v>297</v>
      </c>
      <c r="J7" s="110" t="s">
        <v>295</v>
      </c>
      <c r="K7" s="110" t="s">
        <v>618</v>
      </c>
      <c r="L7" s="18" t="s">
        <v>298</v>
      </c>
      <c r="M7" s="18" t="s">
        <v>298</v>
      </c>
      <c r="N7" s="18" t="s">
        <v>298</v>
      </c>
    </row>
    <row r="8" spans="2:14" s="17" customFormat="1" ht="12.75">
      <c r="B8" s="195"/>
      <c r="D8" s="191" t="s">
        <v>153</v>
      </c>
      <c r="E8" s="191" t="s">
        <v>154</v>
      </c>
      <c r="F8" s="191" t="s">
        <v>155</v>
      </c>
      <c r="G8" s="191" t="s">
        <v>156</v>
      </c>
      <c r="H8" s="191" t="s">
        <v>157</v>
      </c>
      <c r="I8" s="18"/>
      <c r="J8" s="191" t="s">
        <v>158</v>
      </c>
      <c r="K8" s="191" t="s">
        <v>159</v>
      </c>
      <c r="L8" s="191" t="s">
        <v>210</v>
      </c>
      <c r="M8" s="191" t="s">
        <v>211</v>
      </c>
      <c r="N8" s="191" t="s">
        <v>303</v>
      </c>
    </row>
    <row r="9" spans="1:17" s="37" customFormat="1" ht="12.75">
      <c r="A9" s="17"/>
      <c r="B9" s="194"/>
      <c r="C9" s="17"/>
      <c r="D9" s="189"/>
      <c r="E9" s="189"/>
      <c r="F9" s="189"/>
      <c r="G9" s="189"/>
      <c r="H9" s="190"/>
      <c r="I9" s="17"/>
      <c r="J9" s="189"/>
      <c r="K9" s="189"/>
      <c r="L9" s="190"/>
      <c r="M9" s="190"/>
      <c r="N9" s="190"/>
      <c r="O9" s="17"/>
      <c r="P9" s="109"/>
      <c r="Q9" s="109"/>
    </row>
    <row r="10" spans="2:17" s="37" customFormat="1" ht="12.75">
      <c r="B10" s="197" t="s">
        <v>160</v>
      </c>
      <c r="C10" s="37" t="s">
        <v>141</v>
      </c>
      <c r="D10" s="84">
        <v>2000</v>
      </c>
      <c r="E10" s="257">
        <v>0.47</v>
      </c>
      <c r="F10" s="38">
        <v>6.7</v>
      </c>
      <c r="G10" s="84"/>
      <c r="H10" s="38">
        <v>5.5</v>
      </c>
      <c r="J10" s="84">
        <f>costKnucO</f>
        <v>4000</v>
      </c>
      <c r="K10" s="257">
        <f>costFnuc</f>
        <v>0.6702868741149629</v>
      </c>
      <c r="L10" s="123">
        <f>'Table 6D LCOE Nuclear Revenue'!H10/10</f>
        <v>8.356308593407102</v>
      </c>
      <c r="M10" s="123"/>
      <c r="N10" s="124">
        <v>6.6</v>
      </c>
      <c r="P10" s="109"/>
      <c r="Q10" s="109"/>
    </row>
    <row r="11" spans="2:17" s="37" customFormat="1" ht="12.75">
      <c r="B11" s="197" t="s">
        <v>161</v>
      </c>
      <c r="C11" s="37" t="s">
        <v>142</v>
      </c>
      <c r="D11" s="84">
        <v>1300</v>
      </c>
      <c r="E11" s="257">
        <v>1.2</v>
      </c>
      <c r="F11" s="38">
        <v>4.3</v>
      </c>
      <c r="G11" s="124">
        <f>coalwcarbon</f>
        <v>6.39912</v>
      </c>
      <c r="J11" s="84">
        <f>costKcoalO</f>
        <v>2300</v>
      </c>
      <c r="K11" s="257">
        <f>costFcoal</f>
        <v>2.6</v>
      </c>
      <c r="L11" s="123">
        <f>'Table 8D LCOE Coal Revenue'!H10/10</f>
        <v>6.195141201223543</v>
      </c>
      <c r="M11" s="124">
        <f>L11+costCO2coal</f>
        <v>8.291625893146941</v>
      </c>
      <c r="N11" s="123"/>
      <c r="P11" s="109"/>
      <c r="Q11" s="109"/>
    </row>
    <row r="12" spans="1:15" ht="12.75">
      <c r="A12" s="37"/>
      <c r="B12" s="197" t="s">
        <v>162</v>
      </c>
      <c r="C12" s="37" t="s">
        <v>321</v>
      </c>
      <c r="D12" s="84">
        <v>500</v>
      </c>
      <c r="E12" s="257">
        <v>3.5</v>
      </c>
      <c r="F12" s="38">
        <v>4.1</v>
      </c>
      <c r="G12" s="124">
        <f>gaswcarbon</f>
        <v>5.0621149999999995</v>
      </c>
      <c r="H12" s="38"/>
      <c r="I12" s="37"/>
      <c r="J12" s="84">
        <f>costKgasO</f>
        <v>850</v>
      </c>
      <c r="K12" s="257">
        <f>costFgas</f>
        <v>7</v>
      </c>
      <c r="L12" s="123">
        <f>'Table 10D LCOE Gas Revenue'!H10/10</f>
        <v>6.45028256833452</v>
      </c>
      <c r="M12" s="124">
        <f>L12+costCO2gas</f>
        <v>7.353568579991473</v>
      </c>
      <c r="N12" s="123"/>
      <c r="O12" s="37"/>
    </row>
    <row r="13" spans="1:15" ht="13.5" thickBot="1">
      <c r="A13" s="9"/>
      <c r="B13" s="196"/>
      <c r="C13" s="9"/>
      <c r="D13" s="14"/>
      <c r="E13" s="14"/>
      <c r="F13" s="14"/>
      <c r="G13" s="14"/>
      <c r="H13" s="14"/>
      <c r="I13" s="9"/>
      <c r="J13" s="14"/>
      <c r="K13" s="14"/>
      <c r="L13" s="14"/>
      <c r="M13" s="14"/>
      <c r="N13" s="14"/>
      <c r="O13" s="9"/>
    </row>
    <row r="15" spans="2:3" ht="12.75">
      <c r="B15" s="15" t="s">
        <v>177</v>
      </c>
      <c r="C15" s="15"/>
    </row>
    <row r="16" spans="2:3" ht="12.75">
      <c r="B16" s="15" t="s">
        <v>153</v>
      </c>
      <c r="C16" s="15" t="s">
        <v>463</v>
      </c>
    </row>
    <row r="17" spans="2:3" ht="12.75">
      <c r="B17" s="15" t="s">
        <v>154</v>
      </c>
      <c r="C17" s="15" t="s">
        <v>619</v>
      </c>
    </row>
    <row r="18" spans="2:3" ht="12.75">
      <c r="B18" s="15" t="s">
        <v>155</v>
      </c>
      <c r="C18" s="15" t="s">
        <v>622</v>
      </c>
    </row>
    <row r="19" spans="2:3" ht="12.75">
      <c r="B19" s="15" t="s">
        <v>156</v>
      </c>
      <c r="C19" s="15" t="s">
        <v>465</v>
      </c>
    </row>
    <row r="20" spans="2:3" ht="12.75">
      <c r="B20" s="15" t="s">
        <v>157</v>
      </c>
      <c r="C20" s="15" t="s">
        <v>613</v>
      </c>
    </row>
    <row r="21" ht="12.75">
      <c r="C21" s="15" t="s">
        <v>614</v>
      </c>
    </row>
    <row r="22" ht="12.75">
      <c r="C22" s="15" t="s">
        <v>615</v>
      </c>
    </row>
    <row r="23" spans="2:3" ht="12.75">
      <c r="B23" s="15" t="s">
        <v>158</v>
      </c>
      <c r="C23" s="15" t="s">
        <v>628</v>
      </c>
    </row>
    <row r="24" spans="2:3" ht="12.75">
      <c r="B24" s="15" t="s">
        <v>159</v>
      </c>
      <c r="C24" s="15" t="s">
        <v>629</v>
      </c>
    </row>
    <row r="25" spans="2:3" ht="12.75">
      <c r="B25" s="15" t="s">
        <v>623</v>
      </c>
      <c r="C25" s="15" t="s">
        <v>627</v>
      </c>
    </row>
    <row r="26" spans="2:3" ht="12.75">
      <c r="B26" s="15" t="s">
        <v>624</v>
      </c>
      <c r="C26" s="15" t="s">
        <v>630</v>
      </c>
    </row>
    <row r="27" spans="2:3" ht="12.75">
      <c r="B27" s="15" t="s">
        <v>625</v>
      </c>
      <c r="C27" s="15" t="s">
        <v>631</v>
      </c>
    </row>
    <row r="28" spans="2:3" ht="12.75">
      <c r="B28" s="15" t="s">
        <v>211</v>
      </c>
      <c r="C28" s="15" t="s">
        <v>628</v>
      </c>
    </row>
    <row r="29" spans="2:3" ht="12.75">
      <c r="B29" s="15" t="s">
        <v>626</v>
      </c>
      <c r="C29" s="15" t="s">
        <v>632</v>
      </c>
    </row>
  </sheetData>
  <sheetProtection/>
  <printOptions horizontalCentered="1"/>
  <pageMargins left="0.5" right="0.5" top="1" bottom="1" header="0.5" footer="0.5"/>
  <pageSetup fitToHeight="1" fitToWidth="1" horizontalDpi="600" verticalDpi="600" orientation="landscape" scale="89" r:id="rId1"/>
</worksheet>
</file>

<file path=xl/worksheets/sheet20.xml><?xml version="1.0" encoding="utf-8"?>
<worksheet xmlns="http://schemas.openxmlformats.org/spreadsheetml/2006/main" xmlns:r="http://schemas.openxmlformats.org/officeDocument/2006/relationships">
  <dimension ref="A1:N114"/>
  <sheetViews>
    <sheetView zoomScalePageLayoutView="0" workbookViewId="0" topLeftCell="A7">
      <selection activeCell="Q7" sqref="Q1:V16384"/>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6" width="8.8515625" style="0" customWidth="1"/>
    <col min="7" max="7" width="3.8515625" style="0" customWidth="1"/>
    <col min="8" max="9" width="11.8515625" style="0" customWidth="1"/>
    <col min="10" max="10" width="3.8515625" style="0" customWidth="1"/>
    <col min="11" max="13" width="11.8515625" style="0" customWidth="1"/>
    <col min="14" max="14" width="2.8515625" style="0" customWidth="1"/>
    <col min="15" max="15" width="9.8515625" style="0" customWidth="1"/>
    <col min="16" max="16" width="7.00390625" style="0" customWidth="1"/>
  </cols>
  <sheetData>
    <row r="1" ht="12.75">
      <c r="N1" s="20"/>
    </row>
    <row r="2" ht="12.75">
      <c r="N2" s="20"/>
    </row>
    <row r="3" spans="1:14" ht="16.5" thickBot="1">
      <c r="A3" s="9"/>
      <c r="B3" s="42" t="s">
        <v>351</v>
      </c>
      <c r="C3" s="75"/>
      <c r="D3" s="75"/>
      <c r="E3" s="9"/>
      <c r="F3" s="9"/>
      <c r="G3" s="9"/>
      <c r="H3" s="9"/>
      <c r="I3" s="9"/>
      <c r="J3" s="9"/>
      <c r="K3" s="9"/>
      <c r="L3" s="9"/>
      <c r="M3" s="9"/>
      <c r="N3" s="79"/>
    </row>
    <row r="4" spans="2:14" ht="15.75">
      <c r="B4" s="74"/>
      <c r="K4" s="27"/>
      <c r="N4" s="20"/>
    </row>
    <row r="5" spans="2:14" ht="38.25" customHeight="1">
      <c r="B5" s="74"/>
      <c r="H5" s="22"/>
      <c r="I5" s="22"/>
      <c r="K5" s="92" t="s">
        <v>122</v>
      </c>
      <c r="L5" s="92"/>
      <c r="M5" s="92"/>
      <c r="N5" s="20"/>
    </row>
    <row r="6" spans="2:14" ht="21" customHeight="1">
      <c r="B6" s="74"/>
      <c r="H6" s="22"/>
      <c r="I6" s="22"/>
      <c r="K6" s="93"/>
      <c r="L6" s="101" t="s">
        <v>26</v>
      </c>
      <c r="M6" s="93"/>
      <c r="N6" s="20"/>
    </row>
    <row r="7" spans="1:13" s="22" customFormat="1" ht="27" customHeight="1">
      <c r="A7" s="37"/>
      <c r="B7" s="74"/>
      <c r="C7" s="96" t="s">
        <v>72</v>
      </c>
      <c r="D7" s="96" t="s">
        <v>73</v>
      </c>
      <c r="E7" s="96"/>
      <c r="F7" s="96" t="s">
        <v>78</v>
      </c>
      <c r="G7" s="96"/>
      <c r="H7" s="97" t="s">
        <v>25</v>
      </c>
      <c r="I7" s="97" t="s">
        <v>121</v>
      </c>
      <c r="J7" s="96"/>
      <c r="K7" s="97" t="s">
        <v>121</v>
      </c>
      <c r="L7" s="107" t="s">
        <v>27</v>
      </c>
      <c r="M7" s="97" t="s">
        <v>111</v>
      </c>
    </row>
    <row r="8" spans="1:14" s="22" customFormat="1" ht="12.75" customHeight="1">
      <c r="A8" s="17"/>
      <c r="B8" s="50"/>
      <c r="C8" s="80" t="s">
        <v>153</v>
      </c>
      <c r="D8" s="80" t="s">
        <v>154</v>
      </c>
      <c r="E8" s="80"/>
      <c r="F8" s="80" t="s">
        <v>155</v>
      </c>
      <c r="G8" s="80"/>
      <c r="H8" s="81" t="s">
        <v>156</v>
      </c>
      <c r="I8" s="81" t="s">
        <v>157</v>
      </c>
      <c r="J8" s="80"/>
      <c r="K8" s="81" t="s">
        <v>158</v>
      </c>
      <c r="L8" s="81" t="s">
        <v>159</v>
      </c>
      <c r="M8" s="81" t="s">
        <v>210</v>
      </c>
      <c r="N8" s="101"/>
    </row>
    <row r="9" spans="1:14" s="22" customFormat="1" ht="12.75" customHeight="1">
      <c r="A9" s="17"/>
      <c r="B9" s="50"/>
      <c r="H9" s="23"/>
      <c r="I9" s="23"/>
      <c r="K9" s="23"/>
      <c r="L9" s="23"/>
      <c r="M9" s="23"/>
      <c r="N9" s="101"/>
    </row>
    <row r="10" spans="2:14" ht="12.75">
      <c r="B10" s="46" t="s">
        <v>24</v>
      </c>
      <c r="C10" s="19">
        <v>-6</v>
      </c>
      <c r="D10" s="19">
        <v>2007</v>
      </c>
      <c r="F10" s="31">
        <f>1/(1+WACCgas)^(C10)</f>
        <v>1.571421295026444</v>
      </c>
      <c r="H10" s="30">
        <f>L59/('Ancillary Calculations'!U204*(1-Taxgas))</f>
        <v>64.50282568334521</v>
      </c>
      <c r="I10" s="30"/>
      <c r="K10" s="30"/>
      <c r="N10" s="20"/>
    </row>
    <row r="11" spans="6:14" ht="19.5" customHeight="1">
      <c r="F11" s="31"/>
      <c r="H11" s="30"/>
      <c r="I11" s="30"/>
      <c r="K11" s="30"/>
      <c r="L11" s="30"/>
      <c r="M11" s="30"/>
      <c r="N11" s="20"/>
    </row>
    <row r="12" spans="2:14" ht="12.75">
      <c r="B12" s="46" t="s">
        <v>160</v>
      </c>
      <c r="C12" s="19">
        <v>-4</v>
      </c>
      <c r="D12" s="19">
        <v>2009</v>
      </c>
      <c r="F12" s="31">
        <f aca="true" t="shared" si="0" ref="F12:F56">1/(1+WACCgas)^(C12)</f>
        <v>1.351642242221763</v>
      </c>
      <c r="H12" s="30">
        <f>H$10*'Escalation Factors'!M10</f>
        <v>68.43104776746092</v>
      </c>
      <c r="I12" s="30"/>
      <c r="K12" s="30"/>
      <c r="L12" s="30"/>
      <c r="M12" s="30"/>
      <c r="N12" s="20"/>
    </row>
    <row r="13" spans="2:14" ht="12.75">
      <c r="B13" s="46" t="s">
        <v>161</v>
      </c>
      <c r="C13" s="19">
        <v>-3</v>
      </c>
      <c r="D13" s="19">
        <v>2010</v>
      </c>
      <c r="F13" s="31">
        <f t="shared" si="0"/>
        <v>1.253563438772224</v>
      </c>
      <c r="H13" s="30">
        <f>H$10*'Escalation Factors'!M11</f>
        <v>70.48397920048475</v>
      </c>
      <c r="I13" s="30"/>
      <c r="K13" s="30"/>
      <c r="L13" s="30"/>
      <c r="M13" s="30"/>
      <c r="N13" s="20"/>
    </row>
    <row r="14" spans="2:14" ht="12.75">
      <c r="B14" s="46" t="s">
        <v>162</v>
      </c>
      <c r="C14" s="19">
        <v>-2</v>
      </c>
      <c r="D14" s="19">
        <v>2011</v>
      </c>
      <c r="F14" s="31">
        <f t="shared" si="0"/>
        <v>1.1626014976</v>
      </c>
      <c r="H14" s="30">
        <f>H$10*'Escalation Factors'!M12</f>
        <v>72.5984985764993</v>
      </c>
      <c r="I14" s="30"/>
      <c r="K14" s="30"/>
      <c r="L14" s="30"/>
      <c r="M14" s="30"/>
      <c r="N14" s="20"/>
    </row>
    <row r="15" spans="2:14" ht="12.75">
      <c r="B15" s="46" t="s">
        <v>163</v>
      </c>
      <c r="C15" s="19">
        <v>-1</v>
      </c>
      <c r="D15" s="19">
        <v>2012</v>
      </c>
      <c r="F15" s="31">
        <f t="shared" si="0"/>
        <v>1.07824</v>
      </c>
      <c r="H15" s="30">
        <f>H$10*'Escalation Factors'!M13</f>
        <v>74.77645353379427</v>
      </c>
      <c r="I15" s="30"/>
      <c r="K15" s="30"/>
      <c r="L15" s="30">
        <f>'Table 10C LCOE Gas Valuation'!L13</f>
        <v>531.2396630961235</v>
      </c>
      <c r="M15" s="30">
        <f aca="true" t="shared" si="1" ref="M15:M56">K15-L15</f>
        <v>-531.2396630961235</v>
      </c>
      <c r="N15" s="20"/>
    </row>
    <row r="16" spans="2:14" ht="12.75">
      <c r="B16" s="46" t="s">
        <v>164</v>
      </c>
      <c r="C16" s="19">
        <v>0</v>
      </c>
      <c r="D16" s="19">
        <v>2013</v>
      </c>
      <c r="F16" s="31">
        <f t="shared" si="0"/>
        <v>1</v>
      </c>
      <c r="H16" s="30">
        <f>H$10*'Escalation Factors'!M14</f>
        <v>77.0197471398081</v>
      </c>
      <c r="I16" s="30"/>
      <c r="K16" s="30"/>
      <c r="L16" s="30">
        <f>'Table 10C LCOE Gas Valuation'!L14</f>
        <v>507.472226024825</v>
      </c>
      <c r="M16" s="30">
        <f t="shared" si="1"/>
        <v>-507.472226024825</v>
      </c>
      <c r="N16" s="20"/>
    </row>
    <row r="17" spans="2:14" ht="12.75">
      <c r="B17" s="46" t="s">
        <v>165</v>
      </c>
      <c r="C17" s="19">
        <v>1</v>
      </c>
      <c r="D17" s="19">
        <v>2014</v>
      </c>
      <c r="F17" s="31">
        <f t="shared" si="0"/>
        <v>0.9274373052381658</v>
      </c>
      <c r="H17" s="30">
        <f>H$10*'Escalation Factors'!M15</f>
        <v>79.33033955400235</v>
      </c>
      <c r="I17" s="30">
        <f aca="true" t="shared" si="2" ref="I17:I56">(1-Taxgas)*H17*CFgas*Cgas*8766/1000000</f>
        <v>372.39192462202095</v>
      </c>
      <c r="K17" s="30">
        <f aca="true" t="shared" si="3" ref="K17:K56">I17*F17</f>
        <v>345.37016306390126</v>
      </c>
      <c r="L17" s="30">
        <f>'Table 10C LCOE Gas Valuation'!L15</f>
        <v>263.83583248599416</v>
      </c>
      <c r="M17" s="30">
        <f t="shared" si="1"/>
        <v>81.5343305779071</v>
      </c>
      <c r="N17" s="20"/>
    </row>
    <row r="18" spans="2:14" ht="12.75">
      <c r="B18" s="46" t="s">
        <v>166</v>
      </c>
      <c r="C18" s="19">
        <v>2</v>
      </c>
      <c r="D18" s="19">
        <v>2015</v>
      </c>
      <c r="F18" s="31">
        <f t="shared" si="0"/>
        <v>0.8601399551474308</v>
      </c>
      <c r="H18" s="30">
        <f>H$10*'Escalation Factors'!M16</f>
        <v>81.71024974062242</v>
      </c>
      <c r="I18" s="30">
        <f t="shared" si="2"/>
        <v>383.5636823606816</v>
      </c>
      <c r="K18" s="30">
        <f t="shared" si="3"/>
        <v>329.91844854190003</v>
      </c>
      <c r="L18" s="30">
        <f>'Table 10C LCOE Gas Valuation'!L16</f>
        <v>239.53936767632683</v>
      </c>
      <c r="M18" s="30">
        <f t="shared" si="1"/>
        <v>90.3790808655732</v>
      </c>
      <c r="N18" s="20"/>
    </row>
    <row r="19" spans="2:14" ht="12.75">
      <c r="B19" s="46" t="s">
        <v>167</v>
      </c>
      <c r="C19" s="19">
        <v>3</v>
      </c>
      <c r="D19" s="19">
        <v>2016</v>
      </c>
      <c r="F19" s="31">
        <f t="shared" si="0"/>
        <v>0.7977258821296102</v>
      </c>
      <c r="H19" s="30">
        <f>H$10*'Escalation Factors'!M17</f>
        <v>84.16155723284109</v>
      </c>
      <c r="I19" s="30">
        <f t="shared" si="2"/>
        <v>395.070592831502</v>
      </c>
      <c r="K19" s="30">
        <f t="shared" si="3"/>
        <v>315.15803716997794</v>
      </c>
      <c r="L19" s="30">
        <f>'Table 10C LCOE Gas Valuation'!L17</f>
        <v>233.76828852818045</v>
      </c>
      <c r="M19" s="30">
        <f t="shared" si="1"/>
        <v>81.3897486417975</v>
      </c>
      <c r="N19" s="20"/>
    </row>
    <row r="20" spans="2:14" ht="12.75">
      <c r="B20" s="46" t="s">
        <v>168</v>
      </c>
      <c r="C20" s="19">
        <v>4</v>
      </c>
      <c r="D20" s="19">
        <v>2017</v>
      </c>
      <c r="F20" s="31">
        <f t="shared" si="0"/>
        <v>0.7398407424410243</v>
      </c>
      <c r="H20" s="30">
        <f>H$10*'Escalation Factors'!M18</f>
        <v>86.68640394982631</v>
      </c>
      <c r="I20" s="30">
        <f t="shared" si="2"/>
        <v>406.92271061644703</v>
      </c>
      <c r="K20" s="30">
        <f t="shared" si="3"/>
        <v>301.0580003385862</v>
      </c>
      <c r="L20" s="30">
        <f>'Table 10C LCOE Gas Valuation'!L18</f>
        <v>227.58751719404887</v>
      </c>
      <c r="M20" s="30">
        <f t="shared" si="1"/>
        <v>73.47048314453735</v>
      </c>
      <c r="N20" s="20"/>
    </row>
    <row r="21" spans="2:14" ht="12.75">
      <c r="B21" s="46" t="s">
        <v>169</v>
      </c>
      <c r="C21" s="19">
        <v>5</v>
      </c>
      <c r="D21" s="19">
        <v>2018</v>
      </c>
      <c r="F21" s="31">
        <f t="shared" si="0"/>
        <v>0.6861559044749075</v>
      </c>
      <c r="H21" s="30">
        <f>H$10*'Escalation Factors'!M19</f>
        <v>89.28699606832112</v>
      </c>
      <c r="I21" s="30">
        <f t="shared" si="2"/>
        <v>419.13039193494046</v>
      </c>
      <c r="K21" s="30">
        <f t="shared" si="3"/>
        <v>287.5887931710415</v>
      </c>
      <c r="L21" s="30">
        <f>'Table 10C LCOE Gas Valuation'!L19</f>
        <v>221.14608219936275</v>
      </c>
      <c r="M21" s="30">
        <f t="shared" si="1"/>
        <v>66.44271097167876</v>
      </c>
      <c r="N21" s="20"/>
    </row>
    <row r="22" spans="2:14" ht="12.75">
      <c r="B22" t="s">
        <v>170</v>
      </c>
      <c r="C22" s="19">
        <v>6</v>
      </c>
      <c r="D22" s="19">
        <v>2019</v>
      </c>
      <c r="F22" s="31">
        <f t="shared" si="0"/>
        <v>0.6363665830194646</v>
      </c>
      <c r="H22" s="30">
        <f>H$10*'Escalation Factors'!M20</f>
        <v>91.96560595037073</v>
      </c>
      <c r="I22" s="30">
        <f t="shared" si="2"/>
        <v>431.7043036929886</v>
      </c>
      <c r="K22" s="30">
        <f t="shared" si="3"/>
        <v>274.7221926159044</v>
      </c>
      <c r="L22" s="30">
        <f>'Table 10C LCOE Gas Valuation'!L20</f>
        <v>214.541637543036</v>
      </c>
      <c r="M22" s="30">
        <f t="shared" si="1"/>
        <v>60.18055507286843</v>
      </c>
      <c r="N22" s="20"/>
    </row>
    <row r="23" spans="2:14" ht="12.75">
      <c r="B23" t="s">
        <v>171</v>
      </c>
      <c r="C23" s="19">
        <v>7</v>
      </c>
      <c r="D23" s="19">
        <v>2020</v>
      </c>
      <c r="F23" s="31">
        <f t="shared" si="0"/>
        <v>0.5901901088991919</v>
      </c>
      <c r="H23" s="30">
        <f>H$10*'Escalation Factors'!M21</f>
        <v>94.72457412888186</v>
      </c>
      <c r="I23" s="30">
        <f t="shared" si="2"/>
        <v>444.6554328037783</v>
      </c>
      <c r="K23" s="30">
        <f t="shared" si="3"/>
        <v>262.4312383090792</v>
      </c>
      <c r="L23" s="30">
        <f>'Table 10C LCOE Gas Valuation'!L21</f>
        <v>207.17793046416992</v>
      </c>
      <c r="M23" s="30">
        <f t="shared" si="1"/>
        <v>55.2533078449093</v>
      </c>
      <c r="N23" s="20"/>
    </row>
    <row r="24" spans="2:14" ht="12.75">
      <c r="B24" t="s">
        <v>174</v>
      </c>
      <c r="C24" s="19">
        <v>8</v>
      </c>
      <c r="D24" s="19">
        <v>2021</v>
      </c>
      <c r="F24" s="31">
        <f t="shared" si="0"/>
        <v>0.547364324175686</v>
      </c>
      <c r="H24" s="30">
        <f>H$10*'Escalation Factors'!M22</f>
        <v>97.56631135274831</v>
      </c>
      <c r="I24" s="30">
        <f t="shared" si="2"/>
        <v>457.9950957878916</v>
      </c>
      <c r="K24" s="30">
        <f t="shared" si="3"/>
        <v>250.69017608171788</v>
      </c>
      <c r="L24" s="30">
        <f>'Table 10C LCOE Gas Valuation'!L22</f>
        <v>199.32943718909982</v>
      </c>
      <c r="M24" s="30">
        <f t="shared" si="1"/>
        <v>51.36073889261806</v>
      </c>
      <c r="N24" s="20"/>
    </row>
    <row r="25" spans="2:14" ht="12.75">
      <c r="B25" t="s">
        <v>174</v>
      </c>
      <c r="C25" s="19">
        <v>9</v>
      </c>
      <c r="D25" s="19">
        <v>2022</v>
      </c>
      <c r="F25" s="31">
        <f t="shared" si="0"/>
        <v>0.5076460937970081</v>
      </c>
      <c r="H25" s="30">
        <f>H$10*'Escalation Factors'!M23</f>
        <v>100.49330069333077</v>
      </c>
      <c r="I25" s="30">
        <f t="shared" si="2"/>
        <v>471.7349486615284</v>
      </c>
      <c r="K25" s="30">
        <f t="shared" si="3"/>
        <v>239.47440399555703</v>
      </c>
      <c r="L25" s="30">
        <f>'Table 10C LCOE Gas Valuation'!L23</f>
        <v>191.74519681851314</v>
      </c>
      <c r="M25" s="30">
        <f t="shared" si="1"/>
        <v>47.72920717704389</v>
      </c>
      <c r="N25" s="20"/>
    </row>
    <row r="26" spans="2:14" ht="12.75">
      <c r="B26" t="s">
        <v>124</v>
      </c>
      <c r="C26" s="19">
        <v>10</v>
      </c>
      <c r="D26" s="19">
        <v>2023</v>
      </c>
      <c r="F26" s="31">
        <f t="shared" si="0"/>
        <v>0.4708099252457784</v>
      </c>
      <c r="H26" s="30">
        <f>H$10*'Escalation Factors'!M24</f>
        <v>103.50809971413068</v>
      </c>
      <c r="I26" s="30">
        <f t="shared" si="2"/>
        <v>485.8869971213743</v>
      </c>
      <c r="K26" s="30">
        <f t="shared" si="3"/>
        <v>228.76042079260998</v>
      </c>
      <c r="L26" s="30">
        <f>'Table 10C LCOE Gas Valuation'!L24</f>
        <v>184.4724612066508</v>
      </c>
      <c r="M26" s="30">
        <f t="shared" si="1"/>
        <v>44.287959585959186</v>
      </c>
      <c r="N26" s="20"/>
    </row>
    <row r="27" spans="2:14" ht="12.75">
      <c r="B27" t="s">
        <v>221</v>
      </c>
      <c r="C27" s="19">
        <v>11</v>
      </c>
      <c r="D27" s="19">
        <v>2024</v>
      </c>
      <c r="F27" s="31">
        <f t="shared" si="0"/>
        <v>0.436646688349327</v>
      </c>
      <c r="H27" s="30">
        <f>H$10*'Escalation Factors'!M25</f>
        <v>106.6133427055546</v>
      </c>
      <c r="I27" s="30">
        <f t="shared" si="2"/>
        <v>500.46360703501546</v>
      </c>
      <c r="K27" s="30">
        <f t="shared" si="3"/>
        <v>218.52577665119847</v>
      </c>
      <c r="L27" s="30">
        <f>'Table 10C LCOE Gas Valuation'!L25</f>
        <v>177.42981191194352</v>
      </c>
      <c r="M27" s="30">
        <f t="shared" si="1"/>
        <v>41.09596473925495</v>
      </c>
      <c r="N27" s="20"/>
    </row>
    <row r="28" spans="2:14" ht="12.75">
      <c r="B28" t="s">
        <v>251</v>
      </c>
      <c r="C28" s="19">
        <v>12</v>
      </c>
      <c r="D28" s="19">
        <v>2025</v>
      </c>
      <c r="F28" s="31">
        <f t="shared" si="0"/>
        <v>0.40496242798386906</v>
      </c>
      <c r="H28" s="30">
        <f>H$10*'Escalation Factors'!M26</f>
        <v>109.81174298672123</v>
      </c>
      <c r="I28" s="30">
        <f t="shared" si="2"/>
        <v>515.4775152460659</v>
      </c>
      <c r="K28" s="30">
        <f t="shared" si="3"/>
        <v>208.7490261451387</v>
      </c>
      <c r="L28" s="30">
        <f>'Table 10C LCOE Gas Valuation'!L26</f>
        <v>170.6758163005566</v>
      </c>
      <c r="M28" s="30">
        <f t="shared" si="1"/>
        <v>38.073209844582124</v>
      </c>
      <c r="N28" s="20"/>
    </row>
    <row r="29" spans="2:14" ht="12.75">
      <c r="B29" t="s">
        <v>252</v>
      </c>
      <c r="C29" s="19">
        <v>13</v>
      </c>
      <c r="D29" s="19">
        <v>2026</v>
      </c>
      <c r="F29" s="31">
        <f t="shared" si="0"/>
        <v>0.3755772629320644</v>
      </c>
      <c r="H29" s="30">
        <f>H$10*'Escalation Factors'!M27</f>
        <v>113.10609527632288</v>
      </c>
      <c r="I29" s="30">
        <f t="shared" si="2"/>
        <v>530.9418407034478</v>
      </c>
      <c r="K29" s="30">
        <f t="shared" si="3"/>
        <v>199.40968330751306</v>
      </c>
      <c r="L29" s="30">
        <f>'Table 10C LCOE Gas Valuation'!L27</f>
        <v>164.1396157461564</v>
      </c>
      <c r="M29" s="30">
        <f t="shared" si="1"/>
        <v>35.270067561356655</v>
      </c>
      <c r="N29" s="20"/>
    </row>
    <row r="30" spans="2:14" ht="12.75">
      <c r="B30" t="s">
        <v>256</v>
      </c>
      <c r="C30" s="19">
        <v>14</v>
      </c>
      <c r="D30" s="19">
        <v>2027</v>
      </c>
      <c r="F30" s="31">
        <f t="shared" si="0"/>
        <v>0.3483243646424399</v>
      </c>
      <c r="H30" s="30">
        <f>H$10*'Escalation Factors'!M28</f>
        <v>116.49927813461255</v>
      </c>
      <c r="I30" s="30">
        <f t="shared" si="2"/>
        <v>546.8700959245513</v>
      </c>
      <c r="K30" s="30">
        <f t="shared" si="3"/>
        <v>190.48817870486945</v>
      </c>
      <c r="L30" s="30">
        <f>'Table 10C LCOE Gas Valuation'!L28</f>
        <v>157.8707920808772</v>
      </c>
      <c r="M30" s="30">
        <f t="shared" si="1"/>
        <v>32.617386623992246</v>
      </c>
      <c r="N30" s="20"/>
    </row>
    <row r="31" spans="2:14" ht="12.75">
      <c r="B31" t="s">
        <v>257</v>
      </c>
      <c r="C31" s="19">
        <v>15</v>
      </c>
      <c r="D31" s="19">
        <v>2028</v>
      </c>
      <c r="F31" s="31">
        <f t="shared" si="0"/>
        <v>0.3230490100927807</v>
      </c>
      <c r="H31" s="30">
        <f>H$10*'Escalation Factors'!M29</f>
        <v>119.99425647865091</v>
      </c>
      <c r="I31" s="30">
        <f t="shared" si="2"/>
        <v>563.2761988022878</v>
      </c>
      <c r="K31" s="30">
        <f t="shared" si="3"/>
        <v>181.96581843190341</v>
      </c>
      <c r="L31" s="30">
        <f>'Table 10C LCOE Gas Valuation'!L29</f>
        <v>151.80763441847753</v>
      </c>
      <c r="M31" s="30">
        <f t="shared" si="1"/>
        <v>30.15818401342588</v>
      </c>
      <c r="N31" s="20"/>
    </row>
    <row r="32" spans="2:14" ht="12.75">
      <c r="B32" t="s">
        <v>258</v>
      </c>
      <c r="C32" s="19">
        <v>16</v>
      </c>
      <c r="D32" s="19">
        <v>2029</v>
      </c>
      <c r="F32" s="31">
        <f t="shared" si="0"/>
        <v>0.29960770338030557</v>
      </c>
      <c r="H32" s="30">
        <f>H$10*'Escalation Factors'!M30</f>
        <v>123.59408417301046</v>
      </c>
      <c r="I32" s="30">
        <f t="shared" si="2"/>
        <v>580.1744847663565</v>
      </c>
      <c r="K32" s="30">
        <f t="shared" si="3"/>
        <v>173.82474494070016</v>
      </c>
      <c r="L32" s="30">
        <f>'Table 10C LCOE Gas Valuation'!L30</f>
        <v>149.2628114441248</v>
      </c>
      <c r="M32" s="30">
        <f t="shared" si="1"/>
        <v>24.561933496575364</v>
      </c>
      <c r="N32" s="20"/>
    </row>
    <row r="33" spans="2:14" ht="12.75">
      <c r="B33" t="s">
        <v>226</v>
      </c>
      <c r="C33" s="19">
        <v>17</v>
      </c>
      <c r="D33" s="19">
        <v>2030</v>
      </c>
      <c r="F33" s="31">
        <f t="shared" si="0"/>
        <v>0.2778673610516263</v>
      </c>
      <c r="H33" s="30">
        <f>H$10*'Escalation Factors'!M31</f>
        <v>127.30190669820078</v>
      </c>
      <c r="I33" s="30">
        <f t="shared" si="2"/>
        <v>597.5797193093474</v>
      </c>
      <c r="K33" s="30">
        <f t="shared" si="3"/>
        <v>166.04789962245994</v>
      </c>
      <c r="L33" s="30">
        <f>'Table 10C LCOE Gas Valuation'!L31</f>
        <v>146.4474003130904</v>
      </c>
      <c r="M33" s="30">
        <f t="shared" si="1"/>
        <v>19.600499309369525</v>
      </c>
      <c r="N33" s="20"/>
    </row>
    <row r="34" spans="2:14" ht="12.75">
      <c r="B34" t="s">
        <v>227</v>
      </c>
      <c r="C34" s="19">
        <v>18</v>
      </c>
      <c r="D34" s="19">
        <v>2031</v>
      </c>
      <c r="F34" s="31">
        <f t="shared" si="0"/>
        <v>0.2577045565473608</v>
      </c>
      <c r="H34" s="30">
        <f>H$10*'Escalation Factors'!M32</f>
        <v>131.12096389914677</v>
      </c>
      <c r="I34" s="30">
        <f t="shared" si="2"/>
        <v>615.5071108886275</v>
      </c>
      <c r="K34" s="30">
        <f t="shared" si="3"/>
        <v>158.61898706330098</v>
      </c>
      <c r="L34" s="30">
        <f>'Table 10C LCOE Gas Valuation'!L32</f>
        <v>140.604290165414</v>
      </c>
      <c r="M34" s="30">
        <f t="shared" si="1"/>
        <v>18.014696897886978</v>
      </c>
      <c r="N34" s="20"/>
    </row>
    <row r="35" spans="2:14" ht="12.75">
      <c r="B35" t="s">
        <v>228</v>
      </c>
      <c r="C35" s="19">
        <v>19</v>
      </c>
      <c r="D35" s="19">
        <v>2032</v>
      </c>
      <c r="F35" s="31">
        <f t="shared" si="0"/>
        <v>0.23900481947188085</v>
      </c>
      <c r="H35" s="30">
        <f>H$10*'Escalation Factors'!M33</f>
        <v>135.0545928161212</v>
      </c>
      <c r="I35" s="30">
        <f t="shared" si="2"/>
        <v>633.9723242152862</v>
      </c>
      <c r="K35" s="30">
        <f t="shared" si="3"/>
        <v>151.5224408992432</v>
      </c>
      <c r="L35" s="30">
        <f>'Table 10C LCOE Gas Valuation'!L33</f>
        <v>134.99451959590124</v>
      </c>
      <c r="M35" s="30">
        <f t="shared" si="1"/>
        <v>16.52792130334197</v>
      </c>
      <c r="N35" s="20"/>
    </row>
    <row r="36" spans="2:14" ht="12.75">
      <c r="B36" t="s">
        <v>229</v>
      </c>
      <c r="C36" s="19">
        <v>20</v>
      </c>
      <c r="D36" s="19">
        <v>2033</v>
      </c>
      <c r="F36" s="31">
        <f t="shared" si="0"/>
        <v>0.22166198570993542</v>
      </c>
      <c r="H36" s="30">
        <f>H$10*'Escalation Factors'!M34</f>
        <v>139.10623060060485</v>
      </c>
      <c r="I36" s="30">
        <f t="shared" si="2"/>
        <v>652.9914939417451</v>
      </c>
      <c r="K36" s="30">
        <f t="shared" si="3"/>
        <v>144.7433911988245</v>
      </c>
      <c r="L36" s="30">
        <f>'Table 10C LCOE Gas Valuation'!L34</f>
        <v>129.60876238758325</v>
      </c>
      <c r="M36" s="30">
        <f t="shared" si="1"/>
        <v>15.134628811241242</v>
      </c>
      <c r="N36" s="20"/>
    </row>
    <row r="37" spans="2:14" ht="12.75">
      <c r="B37" t="s">
        <v>230</v>
      </c>
      <c r="C37" s="19">
        <v>21</v>
      </c>
      <c r="D37" s="19">
        <v>2034</v>
      </c>
      <c r="F37" s="31">
        <f t="shared" si="0"/>
        <v>0.2055775947005634</v>
      </c>
      <c r="H37" s="30">
        <f>H$10*'Escalation Factors'!M35</f>
        <v>143.27941751862295</v>
      </c>
      <c r="I37" s="30">
        <f t="shared" si="2"/>
        <v>672.5812387599973</v>
      </c>
      <c r="K37" s="30">
        <f t="shared" si="3"/>
        <v>138.26763330500557</v>
      </c>
      <c r="L37" s="30">
        <f>'Table 10C LCOE Gas Valuation'!L35</f>
        <v>124.4380653938353</v>
      </c>
      <c r="M37" s="30">
        <f t="shared" si="1"/>
        <v>13.829567911170273</v>
      </c>
      <c r="N37" s="20"/>
    </row>
    <row r="38" spans="2:14" ht="12.75">
      <c r="B38" t="s">
        <v>231</v>
      </c>
      <c r="C38" s="19">
        <v>22</v>
      </c>
      <c r="D38" s="19">
        <v>2035</v>
      </c>
      <c r="F38" s="31">
        <f t="shared" si="0"/>
        <v>0.19066033044643432</v>
      </c>
      <c r="H38" s="30">
        <f>H$10*'Escalation Factors'!M36</f>
        <v>147.57780004418166</v>
      </c>
      <c r="I38" s="30">
        <f t="shared" si="2"/>
        <v>692.7586759227972</v>
      </c>
      <c r="K38" s="30">
        <f t="shared" si="3"/>
        <v>132.08159807107484</v>
      </c>
      <c r="L38" s="30">
        <f>'Table 10C LCOE Gas Valuation'!L36</f>
        <v>119.47383360205066</v>
      </c>
      <c r="M38" s="30">
        <f t="shared" si="1"/>
        <v>12.607764469024175</v>
      </c>
      <c r="N38" s="20"/>
    </row>
    <row r="39" spans="2:14" ht="12.75">
      <c r="B39" t="s">
        <v>232</v>
      </c>
      <c r="C39" s="19">
        <v>23</v>
      </c>
      <c r="D39" s="19">
        <v>2036</v>
      </c>
      <c r="F39" s="31">
        <f t="shared" si="0"/>
        <v>0.17682550308505932</v>
      </c>
      <c r="H39" s="30">
        <f>H$10*'Escalation Factors'!M37</f>
        <v>152.00513404550708</v>
      </c>
      <c r="I39" s="30">
        <f t="shared" si="2"/>
        <v>713.541436200481</v>
      </c>
      <c r="K39" s="30">
        <f t="shared" si="3"/>
        <v>126.17232342818582</v>
      </c>
      <c r="L39" s="30">
        <f>'Table 10C LCOE Gas Valuation'!L37</f>
        <v>114.70781579582226</v>
      </c>
      <c r="M39" s="30">
        <f t="shared" si="1"/>
        <v>11.464507632363564</v>
      </c>
      <c r="N39" s="20"/>
    </row>
    <row r="40" spans="2:14" ht="12.75">
      <c r="B40" t="s">
        <v>233</v>
      </c>
      <c r="C40" s="19">
        <v>24</v>
      </c>
      <c r="D40" s="19">
        <v>2037</v>
      </c>
      <c r="F40" s="31">
        <f t="shared" si="0"/>
        <v>0.16399456807859036</v>
      </c>
      <c r="H40" s="30">
        <f>H$10*'Escalation Factors'!M38</f>
        <v>156.5652880668723</v>
      </c>
      <c r="I40" s="30">
        <f t="shared" si="2"/>
        <v>734.9476792864955</v>
      </c>
      <c r="K40" s="30">
        <f t="shared" si="3"/>
        <v>120.52742722495118</v>
      </c>
      <c r="L40" s="30">
        <f>'Table 10C LCOE Gas Valuation'!L38</f>
        <v>110.1320907916255</v>
      </c>
      <c r="M40" s="30">
        <f t="shared" si="1"/>
        <v>10.395336433325681</v>
      </c>
      <c r="N40" s="20"/>
    </row>
    <row r="41" spans="2:14" ht="12.75">
      <c r="B41" t="s">
        <v>234</v>
      </c>
      <c r="C41" s="19">
        <v>25</v>
      </c>
      <c r="D41" s="19">
        <v>2038</v>
      </c>
      <c r="F41" s="31">
        <f t="shared" si="0"/>
        <v>0.15209468029250478</v>
      </c>
      <c r="H41" s="30">
        <f>H$10*'Escalation Factors'!M39</f>
        <v>161.2622467088785</v>
      </c>
      <c r="I41" s="30">
        <f t="shared" si="2"/>
        <v>756.9961096650904</v>
      </c>
      <c r="K41" s="30">
        <f t="shared" si="3"/>
        <v>115.13508128218182</v>
      </c>
      <c r="L41" s="30">
        <f>'Table 10C LCOE Gas Valuation'!L39</f>
        <v>105.73905422696502</v>
      </c>
      <c r="M41" s="30">
        <f t="shared" si="1"/>
        <v>9.396027055216791</v>
      </c>
      <c r="N41" s="20"/>
    </row>
    <row r="42" spans="2:14" ht="12.75">
      <c r="B42" t="s">
        <v>235</v>
      </c>
      <c r="C42" s="19">
        <v>26</v>
      </c>
      <c r="D42" s="19">
        <v>2039</v>
      </c>
      <c r="F42" s="31">
        <f t="shared" si="0"/>
        <v>0.141058280431541</v>
      </c>
      <c r="H42" s="30">
        <f>H$10*'Escalation Factors'!M40</f>
        <v>166.10011411014483</v>
      </c>
      <c r="I42" s="30">
        <f t="shared" si="2"/>
        <v>779.705992955043</v>
      </c>
      <c r="K42" s="30">
        <f t="shared" si="3"/>
        <v>109.9839866084056</v>
      </c>
      <c r="L42" s="30">
        <f>'Table 10C LCOE Gas Valuation'!L40</f>
        <v>101.52140587786856</v>
      </c>
      <c r="M42" s="30">
        <f t="shared" si="1"/>
        <v>8.462580730537042</v>
      </c>
      <c r="N42" s="20"/>
    </row>
    <row r="43" spans="2:14" ht="12.75">
      <c r="B43" t="s">
        <v>236</v>
      </c>
      <c r="C43" s="19">
        <v>27</v>
      </c>
      <c r="D43" s="19">
        <v>2040</v>
      </c>
      <c r="F43" s="31">
        <f t="shared" si="0"/>
        <v>0.1308227114849579</v>
      </c>
      <c r="H43" s="30">
        <f>H$10*'Escalation Factors'!M41</f>
        <v>171.08311753344918</v>
      </c>
      <c r="I43" s="30">
        <f t="shared" si="2"/>
        <v>803.0971727436944</v>
      </c>
      <c r="K43" s="30">
        <f t="shared" si="3"/>
        <v>105.06334972423372</v>
      </c>
      <c r="L43" s="30">
        <f>'Table 10C LCOE Gas Valuation'!L41</f>
        <v>97.47213748450166</v>
      </c>
      <c r="M43" s="30">
        <f t="shared" si="1"/>
        <v>7.591212239732059</v>
      </c>
      <c r="N43" s="20"/>
    </row>
    <row r="44" spans="2:14" ht="12.75">
      <c r="B44" t="s">
        <v>237</v>
      </c>
      <c r="C44" s="19">
        <v>28</v>
      </c>
      <c r="D44" s="19">
        <v>2041</v>
      </c>
      <c r="F44" s="31">
        <f t="shared" si="0"/>
        <v>0.12132986300355939</v>
      </c>
      <c r="H44" s="30">
        <f>H$10*'Escalation Factors'!M42</f>
        <v>176.2156110594526</v>
      </c>
      <c r="I44" s="30">
        <f t="shared" si="2"/>
        <v>827.190087926005</v>
      </c>
      <c r="K44" s="30">
        <f t="shared" si="3"/>
        <v>100.36286004596444</v>
      </c>
      <c r="L44" s="30">
        <f>'Table 10C LCOE Gas Valuation'!L42</f>
        <v>93.58452106452704</v>
      </c>
      <c r="M44" s="30">
        <f t="shared" si="1"/>
        <v>6.7783389814374</v>
      </c>
      <c r="N44" s="20"/>
    </row>
    <row r="45" spans="2:14" ht="12.75">
      <c r="B45" t="s">
        <v>238</v>
      </c>
      <c r="C45" s="19">
        <v>29</v>
      </c>
      <c r="D45" s="19">
        <v>2042</v>
      </c>
      <c r="F45" s="31">
        <f t="shared" si="0"/>
        <v>0.11252584118893696</v>
      </c>
      <c r="H45" s="30">
        <f>H$10*'Escalation Factors'!M43</f>
        <v>181.50207939123624</v>
      </c>
      <c r="I45" s="30">
        <f t="shared" si="2"/>
        <v>852.0057905637854</v>
      </c>
      <c r="K45" s="30">
        <f t="shared" si="3"/>
        <v>95.8726682810352</v>
      </c>
      <c r="L45" s="30">
        <f>'Table 10C LCOE Gas Valuation'!L43</f>
        <v>89.85209769465138</v>
      </c>
      <c r="M45" s="30">
        <f t="shared" si="1"/>
        <v>6.020570586383826</v>
      </c>
      <c r="N45" s="20"/>
    </row>
    <row r="46" spans="2:14" ht="12.75">
      <c r="B46" t="s">
        <v>239</v>
      </c>
      <c r="C46" s="19">
        <v>30</v>
      </c>
      <c r="D46" s="19">
        <v>2043</v>
      </c>
      <c r="F46" s="31">
        <f t="shared" si="0"/>
        <v>0.10436066292192551</v>
      </c>
      <c r="H46" s="30">
        <f>H$10*'Escalation Factors'!M44</f>
        <v>186.9471417729733</v>
      </c>
      <c r="I46" s="30">
        <f t="shared" si="2"/>
        <v>877.5659642806991</v>
      </c>
      <c r="K46" s="30">
        <f t="shared" si="3"/>
        <v>91.58336579005257</v>
      </c>
      <c r="L46" s="30">
        <f>'Table 10C LCOE Gas Valuation'!L44</f>
        <v>86.26866674158684</v>
      </c>
      <c r="M46" s="30">
        <f t="shared" si="1"/>
        <v>5.314699048465727</v>
      </c>
      <c r="N46" s="20"/>
    </row>
    <row r="47" spans="2:14" ht="12.75">
      <c r="B47" t="s">
        <v>240</v>
      </c>
      <c r="C47" s="19">
        <v>31</v>
      </c>
      <c r="D47" s="19">
        <v>2044</v>
      </c>
      <c r="F47" s="31">
        <f t="shared" si="0"/>
        <v>0.09678797199317918</v>
      </c>
      <c r="H47" s="30">
        <f>H$10*'Escalation Factors'!M45</f>
        <v>192.55555602616246</v>
      </c>
      <c r="I47" s="30">
        <f t="shared" si="2"/>
        <v>903.8929432091196</v>
      </c>
      <c r="K47" s="30">
        <f t="shared" si="3"/>
        <v>87.48596487215657</v>
      </c>
      <c r="L47" s="30">
        <f>'Table 10C LCOE Gas Valuation'!L45</f>
        <v>82.82827552440781</v>
      </c>
      <c r="M47" s="30">
        <f t="shared" si="1"/>
        <v>4.657689347748757</v>
      </c>
      <c r="N47" s="20"/>
    </row>
    <row r="48" spans="2:14" ht="12.75">
      <c r="B48" t="s">
        <v>241</v>
      </c>
      <c r="C48" s="19">
        <v>32</v>
      </c>
      <c r="D48" s="19">
        <v>2045</v>
      </c>
      <c r="F48" s="31">
        <f t="shared" si="0"/>
        <v>0.08976477592482116</v>
      </c>
      <c r="H48" s="30">
        <f>H$10*'Escalation Factors'!M46</f>
        <v>198.33222270694736</v>
      </c>
      <c r="I48" s="30">
        <f t="shared" si="2"/>
        <v>931.0097315053933</v>
      </c>
      <c r="K48" s="30">
        <f t="shared" si="3"/>
        <v>83.57187993240954</v>
      </c>
      <c r="L48" s="30">
        <f>'Table 10C LCOE Gas Valuation'!L46</f>
        <v>79.52520939100694</v>
      </c>
      <c r="M48" s="30">
        <f t="shared" si="1"/>
        <v>4.046670541402605</v>
      </c>
      <c r="N48" s="20"/>
    </row>
    <row r="49" spans="2:14" ht="12.75">
      <c r="B49" t="s">
        <v>242</v>
      </c>
      <c r="C49" s="19">
        <v>33</v>
      </c>
      <c r="D49" s="19">
        <v>2046</v>
      </c>
      <c r="F49" s="31">
        <f t="shared" si="0"/>
        <v>0.08325120188902391</v>
      </c>
      <c r="H49" s="30">
        <f>H$10*'Escalation Factors'!M47</f>
        <v>204.28218938815579</v>
      </c>
      <c r="I49" s="30">
        <f t="shared" si="2"/>
        <v>958.9400234505553</v>
      </c>
      <c r="K49" s="30">
        <f t="shared" si="3"/>
        <v>79.8329094917475</v>
      </c>
      <c r="L49" s="30">
        <f>'Table 10C LCOE Gas Valuation'!L47</f>
        <v>76.35398219204811</v>
      </c>
      <c r="M49" s="30">
        <f t="shared" si="1"/>
        <v>3.478927299699393</v>
      </c>
      <c r="N49" s="20"/>
    </row>
    <row r="50" spans="2:14" ht="12.75">
      <c r="B50" t="s">
        <v>243</v>
      </c>
      <c r="C50" s="19">
        <v>34</v>
      </c>
      <c r="D50" s="19">
        <v>2047</v>
      </c>
      <c r="F50" s="31">
        <f t="shared" si="0"/>
        <v>0.07721027033779485</v>
      </c>
      <c r="H50" s="30">
        <f>H$10*'Escalation Factors'!M48</f>
        <v>210.41065506980044</v>
      </c>
      <c r="I50" s="30">
        <f t="shared" si="2"/>
        <v>987.7082241540717</v>
      </c>
      <c r="K50" s="30">
        <f t="shared" si="3"/>
        <v>76.26121900179915</v>
      </c>
      <c r="L50" s="30">
        <f>'Table 10C LCOE Gas Valuation'!L48</f>
        <v>73.30932713648079</v>
      </c>
      <c r="M50" s="30">
        <f t="shared" si="1"/>
        <v>2.951891865318359</v>
      </c>
      <c r="N50" s="20"/>
    </row>
    <row r="51" spans="2:14" ht="12.75">
      <c r="B51" t="s">
        <v>244</v>
      </c>
      <c r="C51" s="19">
        <v>35</v>
      </c>
      <c r="D51" s="19">
        <v>2048</v>
      </c>
      <c r="F51" s="31">
        <f t="shared" si="0"/>
        <v>0.07160768505879475</v>
      </c>
      <c r="H51" s="30">
        <f>H$10*'Escalation Factors'!M49</f>
        <v>216.72297472189447</v>
      </c>
      <c r="I51" s="30">
        <f t="shared" si="2"/>
        <v>1017.339470878694</v>
      </c>
      <c r="K51" s="30">
        <f t="shared" si="3"/>
        <v>72.84932442856241</v>
      </c>
      <c r="L51" s="30">
        <f>'Table 10C LCOE Gas Valuation'!L49</f>
        <v>70.386188013319</v>
      </c>
      <c r="M51" s="30">
        <f t="shared" si="1"/>
        <v>2.4631364152434116</v>
      </c>
      <c r="N51" s="20"/>
    </row>
    <row r="52" spans="2:14" ht="12.75">
      <c r="B52" t="s">
        <v>245</v>
      </c>
      <c r="C52" s="19">
        <v>36</v>
      </c>
      <c r="D52" s="19">
        <v>2049</v>
      </c>
      <c r="F52" s="31">
        <f t="shared" si="0"/>
        <v>0.06641163846527186</v>
      </c>
      <c r="H52" s="30">
        <f>H$10*'Escalation Factors'!M50</f>
        <v>223.2246639635513</v>
      </c>
      <c r="I52" s="30">
        <f t="shared" si="2"/>
        <v>1047.859655005055</v>
      </c>
      <c r="K52" s="30">
        <f t="shared" si="3"/>
        <v>69.5900765705402</v>
      </c>
      <c r="L52" s="30">
        <f>'Table 10C LCOE Gas Valuation'!L50</f>
        <v>67.57971076500233</v>
      </c>
      <c r="M52" s="30">
        <f t="shared" si="1"/>
        <v>2.010365805537873</v>
      </c>
      <c r="N52" s="20"/>
    </row>
    <row r="53" spans="2:14" ht="12.75">
      <c r="B53" t="s">
        <v>246</v>
      </c>
      <c r="C53" s="19">
        <v>37</v>
      </c>
      <c r="D53" s="19">
        <v>2050</v>
      </c>
      <c r="F53" s="31">
        <f t="shared" si="0"/>
        <v>0.06159263101468307</v>
      </c>
      <c r="H53" s="30">
        <f>H$10*'Escalation Factors'!M51</f>
        <v>229.92140388245784</v>
      </c>
      <c r="I53" s="30">
        <f t="shared" si="2"/>
        <v>1079.2954446552064</v>
      </c>
      <c r="K53" s="30">
        <f t="shared" si="3"/>
        <v>66.47664607847642</v>
      </c>
      <c r="L53" s="30">
        <f>'Table 10C LCOE Gas Valuation'!L51</f>
        <v>64.8852353982458</v>
      </c>
      <c r="M53" s="30">
        <f t="shared" si="1"/>
        <v>1.5914106802306236</v>
      </c>
      <c r="N53" s="20"/>
    </row>
    <row r="54" spans="2:14" ht="12.75">
      <c r="B54" t="s">
        <v>247</v>
      </c>
      <c r="C54" s="19">
        <v>38</v>
      </c>
      <c r="D54" s="19">
        <v>2051</v>
      </c>
      <c r="F54" s="31">
        <f t="shared" si="0"/>
        <v>0.05712330373078633</v>
      </c>
      <c r="H54" s="30">
        <f>H$10*'Escalation Factors'!M52</f>
        <v>236.81904599893156</v>
      </c>
      <c r="I54" s="30">
        <f t="shared" si="2"/>
        <v>1111.6743079948626</v>
      </c>
      <c r="K54" s="30">
        <f t="shared" si="3"/>
        <v>63.50250914530224</v>
      </c>
      <c r="L54" s="30">
        <f>'Table 10C LCOE Gas Valuation'!L52</f>
        <v>62.29828821884961</v>
      </c>
      <c r="M54" s="30">
        <f t="shared" si="1"/>
        <v>1.2042209264526278</v>
      </c>
      <c r="N54" s="20"/>
    </row>
    <row r="55" spans="2:14" ht="12.75">
      <c r="B55" t="s">
        <v>248</v>
      </c>
      <c r="C55" s="19">
        <v>39</v>
      </c>
      <c r="D55" s="19">
        <v>2052</v>
      </c>
      <c r="F55" s="31">
        <f t="shared" si="0"/>
        <v>0.052978282878381744</v>
      </c>
      <c r="H55" s="30">
        <f>H$10*'Escalation Factors'!M53</f>
        <v>243.92361737889948</v>
      </c>
      <c r="I55" s="30">
        <f t="shared" si="2"/>
        <v>1145.0245372347083</v>
      </c>
      <c r="K55" s="30">
        <f t="shared" si="3"/>
        <v>60.661433836308525</v>
      </c>
      <c r="L55" s="30">
        <f>'Table 10C LCOE Gas Valuation'!L53</f>
        <v>59.81457437748452</v>
      </c>
      <c r="M55" s="30">
        <f t="shared" si="1"/>
        <v>0.8468594588240066</v>
      </c>
      <c r="N55" s="20"/>
    </row>
    <row r="56" spans="2:14" ht="12.75">
      <c r="B56" t="s">
        <v>249</v>
      </c>
      <c r="C56" s="19">
        <v>40</v>
      </c>
      <c r="D56" s="19">
        <v>2053</v>
      </c>
      <c r="F56" s="31">
        <f t="shared" si="0"/>
        <v>0.04913403590887162</v>
      </c>
      <c r="H56" s="30">
        <f>H$10*'Escalation Factors'!M54</f>
        <v>251.24132590026647</v>
      </c>
      <c r="I56" s="30">
        <f t="shared" si="2"/>
        <v>1179.3752733517497</v>
      </c>
      <c r="K56" s="30">
        <f t="shared" si="3"/>
        <v>57.94746703090016</v>
      </c>
      <c r="L56" s="30">
        <f>'Table 10C LCOE Gas Valuation'!L54</f>
        <v>57.429970713987494</v>
      </c>
      <c r="M56" s="30">
        <f t="shared" si="1"/>
        <v>0.5174963169126627</v>
      </c>
      <c r="N56" s="37"/>
    </row>
    <row r="57" spans="2:14" ht="12.75">
      <c r="B57" s="15"/>
      <c r="C57" s="11"/>
      <c r="D57" s="11"/>
      <c r="E57" s="12"/>
      <c r="F57" s="12"/>
      <c r="G57" s="12"/>
      <c r="H57" s="12"/>
      <c r="I57" s="12"/>
      <c r="J57" s="12"/>
      <c r="K57" s="12"/>
      <c r="L57" s="12"/>
      <c r="M57" s="12"/>
      <c r="N57" s="37"/>
    </row>
    <row r="58" spans="2:14" ht="12.75">
      <c r="B58" s="46"/>
      <c r="N58" s="37"/>
    </row>
    <row r="59" spans="2:14" ht="12.75">
      <c r="B59" s="166" t="s">
        <v>250</v>
      </c>
      <c r="C59" s="199" t="s">
        <v>350</v>
      </c>
      <c r="H59" s="30"/>
      <c r="I59" s="30"/>
      <c r="K59" s="30">
        <f>SUM(K11:K56)</f>
        <v>6482.297545194722</v>
      </c>
      <c r="L59" s="30">
        <f>SUM(L11:L56)</f>
        <v>6482.29754519472</v>
      </c>
      <c r="M59" s="30">
        <f>SUM(M11:M56)</f>
        <v>-1.7976731214730535E-12</v>
      </c>
      <c r="N59" s="37"/>
    </row>
    <row r="60" spans="1:14" ht="13.5" thickBot="1">
      <c r="A60" s="9"/>
      <c r="B60" s="43"/>
      <c r="C60" s="87"/>
      <c r="D60" s="75"/>
      <c r="E60" s="9"/>
      <c r="F60" s="9"/>
      <c r="G60" s="9"/>
      <c r="H60" s="94"/>
      <c r="I60" s="94"/>
      <c r="J60" s="9"/>
      <c r="K60" s="94"/>
      <c r="L60" s="94"/>
      <c r="M60" s="89"/>
      <c r="N60" s="9"/>
    </row>
    <row r="61" spans="2:14" ht="12.75">
      <c r="B61"/>
      <c r="N61" s="37"/>
    </row>
    <row r="62" spans="2:14" ht="12.75">
      <c r="B62" s="15" t="s">
        <v>177</v>
      </c>
      <c r="N62" s="37"/>
    </row>
    <row r="63" spans="2:14" ht="12.75">
      <c r="B63" s="15" t="s">
        <v>468</v>
      </c>
      <c r="C63" s="32"/>
      <c r="N63" s="37"/>
    </row>
    <row r="64" spans="2:14" ht="12.75">
      <c r="B64" s="15" t="s">
        <v>156</v>
      </c>
      <c r="C64" s="99" t="s">
        <v>575</v>
      </c>
      <c r="N64" s="37"/>
    </row>
    <row r="65" spans="2:3" ht="12.75">
      <c r="B65" s="15" t="s">
        <v>157</v>
      </c>
      <c r="C65" s="99" t="s">
        <v>576</v>
      </c>
    </row>
    <row r="66" spans="2:3" ht="12.75">
      <c r="B66" s="15" t="s">
        <v>158</v>
      </c>
      <c r="C66" s="99" t="s">
        <v>577</v>
      </c>
    </row>
    <row r="67" spans="2:3" ht="12.75">
      <c r="B67" s="15" t="s">
        <v>159</v>
      </c>
      <c r="C67" s="99" t="s">
        <v>469</v>
      </c>
    </row>
    <row r="68" spans="2:3" ht="12.75">
      <c r="B68" s="15" t="s">
        <v>210</v>
      </c>
      <c r="C68" s="99" t="s">
        <v>19</v>
      </c>
    </row>
    <row r="69" spans="2:3" ht="12.75">
      <c r="B69" s="15" t="s">
        <v>250</v>
      </c>
      <c r="C69" s="99" t="s">
        <v>454</v>
      </c>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s="15"/>
    </row>
    <row r="112" ht="12.75">
      <c r="B112" s="15"/>
    </row>
    <row r="113" ht="12.75">
      <c r="B113" s="15"/>
    </row>
    <row r="114" ht="12.75">
      <c r="B114" s="15"/>
    </row>
  </sheetData>
  <sheetProtection/>
  <printOptions horizontalCentered="1"/>
  <pageMargins left="0.75" right="0.5" top="1" bottom="1" header="0.5" footer="0.5"/>
  <pageSetup fitToHeight="2" orientation="portrait" scale="86" r:id="rId1"/>
  <rowBreaks count="1" manualBreakCount="1">
    <brk id="36" max="13" man="1"/>
  </rowBreaks>
</worksheet>
</file>

<file path=xl/worksheets/sheet21.xml><?xml version="1.0" encoding="utf-8"?>
<worksheet xmlns="http://schemas.openxmlformats.org/spreadsheetml/2006/main" xmlns:r="http://schemas.openxmlformats.org/officeDocument/2006/relationships">
  <dimension ref="A2:Z55"/>
  <sheetViews>
    <sheetView zoomScalePageLayoutView="0" workbookViewId="0" topLeftCell="A49">
      <selection activeCell="F58" sqref="F58"/>
    </sheetView>
  </sheetViews>
  <sheetFormatPr defaultColWidth="8.8515625" defaultRowHeight="12.75"/>
  <cols>
    <col min="1" max="1" width="2.7109375" style="0" customWidth="1"/>
    <col min="2" max="2" width="7.00390625" style="0" customWidth="1"/>
    <col min="5" max="7" width="11.421875" style="0" customWidth="1"/>
    <col min="8" max="8" width="9.57421875" style="0" customWidth="1"/>
    <col min="9" max="11" width="11.421875" style="0" customWidth="1"/>
    <col min="12" max="12" width="9.8515625" style="0" customWidth="1"/>
    <col min="13" max="15" width="11.421875" style="0" customWidth="1"/>
    <col min="16" max="16" width="2.7109375" style="0" customWidth="1"/>
    <col min="18" max="19" width="11.421875" style="0" customWidth="1"/>
    <col min="20" max="20" width="9.57421875" style="0" customWidth="1"/>
    <col min="21" max="22" width="11.421875" style="0" customWidth="1"/>
    <col min="23" max="23" width="9.8515625" style="0" customWidth="1"/>
    <col min="24" max="25" width="11.421875" style="0" customWidth="1"/>
    <col min="26" max="26" width="2.7109375" style="0" customWidth="1"/>
    <col min="27" max="253" width="8.8515625" style="0" customWidth="1"/>
  </cols>
  <sheetData>
    <row r="2" spans="1:26" ht="16.5" thickBot="1">
      <c r="A2" s="9"/>
      <c r="B2" s="10" t="s">
        <v>620</v>
      </c>
      <c r="C2" s="10"/>
      <c r="D2" s="9"/>
      <c r="E2" s="9"/>
      <c r="F2" s="9"/>
      <c r="G2" s="9"/>
      <c r="H2" s="9"/>
      <c r="I2" s="9"/>
      <c r="J2" s="9"/>
      <c r="K2" s="9"/>
      <c r="L2" s="9"/>
      <c r="M2" s="9"/>
      <c r="N2" s="9"/>
      <c r="O2" s="9"/>
      <c r="P2" s="9"/>
      <c r="Q2" s="9"/>
      <c r="R2" s="10" t="s">
        <v>621</v>
      </c>
      <c r="S2" s="9"/>
      <c r="T2" s="9"/>
      <c r="U2" s="9"/>
      <c r="V2" s="9"/>
      <c r="W2" s="9"/>
      <c r="X2" s="9"/>
      <c r="Y2" s="9"/>
      <c r="Z2" s="9"/>
    </row>
    <row r="3" spans="5:24" ht="12.75">
      <c r="E3" s="166" t="s">
        <v>141</v>
      </c>
      <c r="I3" s="166" t="s">
        <v>142</v>
      </c>
      <c r="M3" s="166" t="s">
        <v>321</v>
      </c>
      <c r="R3" s="166" t="s">
        <v>141</v>
      </c>
      <c r="U3" s="166" t="s">
        <v>142</v>
      </c>
      <c r="X3" s="166" t="s">
        <v>321</v>
      </c>
    </row>
    <row r="5" spans="2:25" ht="38.25">
      <c r="B5" s="19" t="s">
        <v>72</v>
      </c>
      <c r="C5" s="25" t="s">
        <v>413</v>
      </c>
      <c r="E5" s="23" t="s">
        <v>279</v>
      </c>
      <c r="F5" s="25" t="s">
        <v>192</v>
      </c>
      <c r="G5" s="25" t="s">
        <v>193</v>
      </c>
      <c r="I5" s="23" t="s">
        <v>279</v>
      </c>
      <c r="J5" s="102" t="s">
        <v>192</v>
      </c>
      <c r="K5" s="102" t="s">
        <v>193</v>
      </c>
      <c r="M5" s="23" t="s">
        <v>279</v>
      </c>
      <c r="N5" s="102" t="s">
        <v>192</v>
      </c>
      <c r="O5" s="102" t="s">
        <v>193</v>
      </c>
      <c r="R5" s="25" t="s">
        <v>192</v>
      </c>
      <c r="S5" s="25" t="s">
        <v>193</v>
      </c>
      <c r="U5" s="102" t="s">
        <v>192</v>
      </c>
      <c r="V5" s="102" t="s">
        <v>193</v>
      </c>
      <c r="X5" s="102" t="s">
        <v>192</v>
      </c>
      <c r="Y5" s="102" t="s">
        <v>193</v>
      </c>
    </row>
    <row r="6" spans="5:25" ht="12.75">
      <c r="E6" s="22"/>
      <c r="F6" s="22"/>
      <c r="G6" s="22"/>
      <c r="I6" s="22"/>
      <c r="J6" s="22"/>
      <c r="K6" s="22"/>
      <c r="M6" s="22"/>
      <c r="N6" s="22"/>
      <c r="O6" s="22"/>
      <c r="R6" s="22"/>
      <c r="S6" s="22"/>
      <c r="U6" s="22"/>
      <c r="V6" s="22"/>
      <c r="X6" s="22"/>
      <c r="Y6" s="22"/>
    </row>
    <row r="7" spans="5:25" ht="12.75">
      <c r="E7" s="22"/>
      <c r="F7" s="22"/>
      <c r="G7" s="22"/>
      <c r="I7" s="22"/>
      <c r="J7" s="22"/>
      <c r="K7" s="22"/>
      <c r="M7" s="22"/>
      <c r="N7" s="22"/>
      <c r="O7" s="22"/>
      <c r="R7" s="22"/>
      <c r="S7" s="22"/>
      <c r="U7" s="22"/>
      <c r="V7" s="22"/>
      <c r="X7" s="22"/>
      <c r="Y7" s="22"/>
    </row>
    <row r="8" spans="2:25" ht="12.75">
      <c r="B8">
        <v>-6</v>
      </c>
      <c r="C8" s="19">
        <v>2007</v>
      </c>
      <c r="D8" s="166" t="s">
        <v>418</v>
      </c>
      <c r="E8" s="22"/>
      <c r="F8" s="22"/>
      <c r="G8" s="22"/>
      <c r="I8" s="22"/>
      <c r="J8" s="22"/>
      <c r="K8" s="22"/>
      <c r="M8" s="22"/>
      <c r="N8" s="22"/>
      <c r="O8" s="22"/>
      <c r="Q8" s="166"/>
      <c r="R8" s="22"/>
      <c r="S8" s="22"/>
      <c r="U8" s="22"/>
      <c r="V8" s="22"/>
      <c r="X8" s="22"/>
      <c r="Y8" s="22"/>
    </row>
    <row r="9" spans="5:25" ht="12.75">
      <c r="E9" s="24"/>
      <c r="F9" s="24"/>
      <c r="G9" s="24"/>
      <c r="I9" s="24"/>
      <c r="J9" s="24"/>
      <c r="K9" s="24"/>
      <c r="M9" s="24"/>
      <c r="N9" s="24"/>
      <c r="O9" s="24"/>
      <c r="R9" s="24"/>
      <c r="S9" s="24"/>
      <c r="U9" s="24"/>
      <c r="V9" s="24"/>
      <c r="X9" s="24"/>
      <c r="Y9" s="24"/>
    </row>
    <row r="10" spans="2:25" ht="12.75">
      <c r="B10">
        <v>-4</v>
      </c>
      <c r="C10" s="19">
        <v>2009</v>
      </c>
      <c r="E10" s="24">
        <f aca="true" t="shared" si="0" ref="E10:E54">(1+infnuc)^($C10-$C$8)</f>
        <v>1.0609</v>
      </c>
      <c r="F10" s="24">
        <f aca="true" t="shared" si="1" ref="F10:F54">((1+infnuc)*(1+irOMnuc))^($C10-$C$8)</f>
        <v>1.08222409</v>
      </c>
      <c r="G10" s="24">
        <f aca="true" t="shared" si="2" ref="G10:G54">((1+infnuc)*(1+irFnuc))^($C10-$C$8)</f>
        <v>1.0715355225</v>
      </c>
      <c r="I10" s="24">
        <f aca="true" t="shared" si="3" ref="I10:I54">(1+infcoal)^($C10-$C$8)</f>
        <v>1.0609</v>
      </c>
      <c r="J10" s="24">
        <f aca="true" t="shared" si="4" ref="J10:J54">((1+infcoal)*(1+irOMcoal))^($C10-$C$8)</f>
        <v>1.08222409</v>
      </c>
      <c r="K10" s="24">
        <f aca="true" t="shared" si="5" ref="K10:K54">((1+infcoal)*(1+irFcoal))^($C10-$C$8)</f>
        <v>1.0715355225</v>
      </c>
      <c r="M10" s="24">
        <f aca="true" t="shared" si="6" ref="M10:M54">(1+infnuc)^($C10-$C$8)</f>
        <v>1.0609</v>
      </c>
      <c r="N10" s="24">
        <f aca="true" t="shared" si="7" ref="N10:N54">((1+infgas)*(1+irOMgas))^($C10-$C$8)</f>
        <v>1.08222409</v>
      </c>
      <c r="O10" s="24">
        <f aca="true" t="shared" si="8" ref="O10:O54">((1+infgas)*(1+irFgas))^($C10-$C$8)</f>
        <v>1.0715355225</v>
      </c>
      <c r="R10" s="24">
        <f aca="true" t="shared" si="9" ref="R10:R54">(1+irOMnuc)^($C10-$C$8)</f>
        <v>1.0201</v>
      </c>
      <c r="S10" s="24">
        <f aca="true" t="shared" si="10" ref="S10:S54">(1+irFnuc)^($C10-$C$8)</f>
        <v>1.0100249999999997</v>
      </c>
      <c r="U10" s="24">
        <f aca="true" t="shared" si="11" ref="U10:U54">(1+irOMcoal)^($C10-$C$8)</f>
        <v>1.0201</v>
      </c>
      <c r="V10" s="24">
        <f aca="true" t="shared" si="12" ref="V10:V54">(1+irFcoal)^($C10-$C$8)</f>
        <v>1.0100249999999997</v>
      </c>
      <c r="X10" s="24">
        <f aca="true" t="shared" si="13" ref="X10:X54">(1+irOMgas)^($C10-$C$8)</f>
        <v>1.0201</v>
      </c>
      <c r="Y10" s="24">
        <f aca="true" t="shared" si="14" ref="Y10:Y54">(1+irFgas)^($C10-$C$8)</f>
        <v>1.0100249999999997</v>
      </c>
    </row>
    <row r="11" spans="2:25" ht="12.75">
      <c r="B11">
        <v>-3</v>
      </c>
      <c r="C11" s="19">
        <v>2010</v>
      </c>
      <c r="E11" s="24">
        <f t="shared" si="0"/>
        <v>1.092727</v>
      </c>
      <c r="F11" s="24">
        <f t="shared" si="1"/>
        <v>1.125837720827</v>
      </c>
      <c r="G11" s="24">
        <f t="shared" si="2"/>
        <v>1.1091999961158752</v>
      </c>
      <c r="I11" s="24">
        <f t="shared" si="3"/>
        <v>1.092727</v>
      </c>
      <c r="J11" s="24">
        <f t="shared" si="4"/>
        <v>1.125837720827</v>
      </c>
      <c r="K11" s="24">
        <f t="shared" si="5"/>
        <v>1.1091999961158752</v>
      </c>
      <c r="M11" s="24">
        <f t="shared" si="6"/>
        <v>1.092727</v>
      </c>
      <c r="N11" s="24">
        <f t="shared" si="7"/>
        <v>1.125837720827</v>
      </c>
      <c r="O11" s="24">
        <f t="shared" si="8"/>
        <v>1.1091999961158752</v>
      </c>
      <c r="R11" s="24">
        <f t="shared" si="9"/>
        <v>1.030301</v>
      </c>
      <c r="S11" s="24">
        <f t="shared" si="10"/>
        <v>1.0150751249999996</v>
      </c>
      <c r="U11" s="24">
        <f t="shared" si="11"/>
        <v>1.030301</v>
      </c>
      <c r="V11" s="24">
        <f t="shared" si="12"/>
        <v>1.0150751249999996</v>
      </c>
      <c r="X11" s="24">
        <f t="shared" si="13"/>
        <v>1.030301</v>
      </c>
      <c r="Y11" s="24">
        <f t="shared" si="14"/>
        <v>1.0150751249999996</v>
      </c>
    </row>
    <row r="12" spans="2:25" ht="12.75">
      <c r="B12">
        <v>-2</v>
      </c>
      <c r="C12" s="19">
        <v>2011</v>
      </c>
      <c r="E12" s="24">
        <f t="shared" si="0"/>
        <v>1.12550881</v>
      </c>
      <c r="F12" s="24">
        <f t="shared" si="1"/>
        <v>1.171208980976328</v>
      </c>
      <c r="G12" s="24">
        <f t="shared" si="2"/>
        <v>1.148188375979348</v>
      </c>
      <c r="I12" s="24">
        <f t="shared" si="3"/>
        <v>1.12550881</v>
      </c>
      <c r="J12" s="24">
        <f t="shared" si="4"/>
        <v>1.171208980976328</v>
      </c>
      <c r="K12" s="24">
        <f t="shared" si="5"/>
        <v>1.148188375979348</v>
      </c>
      <c r="M12" s="24">
        <f t="shared" si="6"/>
        <v>1.12550881</v>
      </c>
      <c r="N12" s="24">
        <f t="shared" si="7"/>
        <v>1.171208980976328</v>
      </c>
      <c r="O12" s="24">
        <f t="shared" si="8"/>
        <v>1.148188375979348</v>
      </c>
      <c r="R12" s="24">
        <f t="shared" si="9"/>
        <v>1.04060401</v>
      </c>
      <c r="S12" s="24">
        <f t="shared" si="10"/>
        <v>1.0201505006249993</v>
      </c>
      <c r="U12" s="24">
        <f t="shared" si="11"/>
        <v>1.04060401</v>
      </c>
      <c r="V12" s="24">
        <f t="shared" si="12"/>
        <v>1.0201505006249993</v>
      </c>
      <c r="X12" s="24">
        <f t="shared" si="13"/>
        <v>1.04060401</v>
      </c>
      <c r="Y12" s="24">
        <f t="shared" si="14"/>
        <v>1.0201505006249993</v>
      </c>
    </row>
    <row r="13" spans="2:25" ht="12.75">
      <c r="B13">
        <v>-1</v>
      </c>
      <c r="C13" s="19">
        <v>2012</v>
      </c>
      <c r="E13" s="24">
        <f t="shared" si="0"/>
        <v>1.1592740742999998</v>
      </c>
      <c r="F13" s="24">
        <f t="shared" si="1"/>
        <v>1.218408702909674</v>
      </c>
      <c r="G13" s="24">
        <f t="shared" si="2"/>
        <v>1.1885471973950221</v>
      </c>
      <c r="I13" s="24">
        <f t="shared" si="3"/>
        <v>1.1592740742999998</v>
      </c>
      <c r="J13" s="24">
        <f t="shared" si="4"/>
        <v>1.218408702909674</v>
      </c>
      <c r="K13" s="24">
        <f t="shared" si="5"/>
        <v>1.1885471973950221</v>
      </c>
      <c r="M13" s="24">
        <f t="shared" si="6"/>
        <v>1.1592740742999998</v>
      </c>
      <c r="N13" s="24">
        <f t="shared" si="7"/>
        <v>1.218408702909674</v>
      </c>
      <c r="O13" s="24">
        <f t="shared" si="8"/>
        <v>1.1885471973950221</v>
      </c>
      <c r="R13" s="24">
        <f t="shared" si="9"/>
        <v>1.0510100501</v>
      </c>
      <c r="S13" s="24">
        <f t="shared" si="10"/>
        <v>1.0252512531281242</v>
      </c>
      <c r="U13" s="24">
        <f t="shared" si="11"/>
        <v>1.0510100501</v>
      </c>
      <c r="V13" s="24">
        <f t="shared" si="12"/>
        <v>1.0252512531281242</v>
      </c>
      <c r="X13" s="24">
        <f t="shared" si="13"/>
        <v>1.0510100501</v>
      </c>
      <c r="Y13" s="24">
        <f t="shared" si="14"/>
        <v>1.0252512531281242</v>
      </c>
    </row>
    <row r="14" spans="2:25" ht="12.75">
      <c r="B14">
        <v>0</v>
      </c>
      <c r="C14" s="19">
        <v>2013</v>
      </c>
      <c r="E14" s="24">
        <f t="shared" si="0"/>
        <v>1.194052296529</v>
      </c>
      <c r="F14" s="24">
        <f t="shared" si="1"/>
        <v>1.2675105736369339</v>
      </c>
      <c r="G14" s="24">
        <f t="shared" si="2"/>
        <v>1.2303246313834573</v>
      </c>
      <c r="I14" s="24">
        <f t="shared" si="3"/>
        <v>1.194052296529</v>
      </c>
      <c r="J14" s="24">
        <f t="shared" si="4"/>
        <v>1.2675105736369339</v>
      </c>
      <c r="K14" s="24">
        <f t="shared" si="5"/>
        <v>1.2303246313834573</v>
      </c>
      <c r="M14" s="24">
        <f t="shared" si="6"/>
        <v>1.194052296529</v>
      </c>
      <c r="N14" s="24">
        <f t="shared" si="7"/>
        <v>1.2675105736369339</v>
      </c>
      <c r="O14" s="24">
        <f t="shared" si="8"/>
        <v>1.2303246313834573</v>
      </c>
      <c r="R14" s="24">
        <f t="shared" si="9"/>
        <v>1.0615201506010001</v>
      </c>
      <c r="S14" s="24">
        <f t="shared" si="10"/>
        <v>1.0303775093937646</v>
      </c>
      <c r="U14" s="24">
        <f t="shared" si="11"/>
        <v>1.0615201506010001</v>
      </c>
      <c r="V14" s="24">
        <f t="shared" si="12"/>
        <v>1.0303775093937646</v>
      </c>
      <c r="X14" s="24">
        <f t="shared" si="13"/>
        <v>1.0615201506010001</v>
      </c>
      <c r="Y14" s="24">
        <f t="shared" si="14"/>
        <v>1.0303775093937646</v>
      </c>
    </row>
    <row r="15" spans="2:25" ht="12.75">
      <c r="B15">
        <v>1</v>
      </c>
      <c r="C15" s="19">
        <v>2014</v>
      </c>
      <c r="E15" s="24">
        <f t="shared" si="0"/>
        <v>1.22987386542487</v>
      </c>
      <c r="F15" s="24">
        <f t="shared" si="1"/>
        <v>1.3185912497545023</v>
      </c>
      <c r="G15" s="24">
        <f t="shared" si="2"/>
        <v>1.273570542176586</v>
      </c>
      <c r="I15" s="24">
        <f t="shared" si="3"/>
        <v>1.22987386542487</v>
      </c>
      <c r="J15" s="24">
        <f t="shared" si="4"/>
        <v>1.3185912497545023</v>
      </c>
      <c r="K15" s="24">
        <f t="shared" si="5"/>
        <v>1.273570542176586</v>
      </c>
      <c r="M15" s="24">
        <f t="shared" si="6"/>
        <v>1.22987386542487</v>
      </c>
      <c r="N15" s="24">
        <f t="shared" si="7"/>
        <v>1.3185912497545023</v>
      </c>
      <c r="O15" s="24">
        <f t="shared" si="8"/>
        <v>1.273570542176586</v>
      </c>
      <c r="R15" s="24">
        <f t="shared" si="9"/>
        <v>1.0721353521070098</v>
      </c>
      <c r="S15" s="24">
        <f t="shared" si="10"/>
        <v>1.0355293969407333</v>
      </c>
      <c r="U15" s="24">
        <f t="shared" si="11"/>
        <v>1.0721353521070098</v>
      </c>
      <c r="V15" s="24">
        <f t="shared" si="12"/>
        <v>1.0355293969407333</v>
      </c>
      <c r="X15" s="24">
        <f t="shared" si="13"/>
        <v>1.0721353521070098</v>
      </c>
      <c r="Y15" s="24">
        <f t="shared" si="14"/>
        <v>1.0355293969407333</v>
      </c>
    </row>
    <row r="16" spans="2:25" ht="12.75">
      <c r="B16">
        <v>2</v>
      </c>
      <c r="C16" s="19">
        <v>2015</v>
      </c>
      <c r="E16" s="24">
        <f t="shared" si="0"/>
        <v>1.266770081387616</v>
      </c>
      <c r="F16" s="24">
        <f t="shared" si="1"/>
        <v>1.3717304771196086</v>
      </c>
      <c r="G16" s="24">
        <f t="shared" si="2"/>
        <v>1.3183365467340928</v>
      </c>
      <c r="I16" s="24">
        <f t="shared" si="3"/>
        <v>1.266770081387616</v>
      </c>
      <c r="J16" s="24">
        <f t="shared" si="4"/>
        <v>1.3717304771196086</v>
      </c>
      <c r="K16" s="24">
        <f t="shared" si="5"/>
        <v>1.3183365467340928</v>
      </c>
      <c r="M16" s="24">
        <f t="shared" si="6"/>
        <v>1.266770081387616</v>
      </c>
      <c r="N16" s="24">
        <f t="shared" si="7"/>
        <v>1.3717304771196086</v>
      </c>
      <c r="O16" s="24">
        <f t="shared" si="8"/>
        <v>1.3183365467340928</v>
      </c>
      <c r="R16" s="24">
        <f t="shared" si="9"/>
        <v>1.0828567056280802</v>
      </c>
      <c r="S16" s="24">
        <f t="shared" si="10"/>
        <v>1.040707043925437</v>
      </c>
      <c r="U16" s="24">
        <f t="shared" si="11"/>
        <v>1.0828567056280802</v>
      </c>
      <c r="V16" s="24">
        <f t="shared" si="12"/>
        <v>1.040707043925437</v>
      </c>
      <c r="X16" s="24">
        <f t="shared" si="13"/>
        <v>1.0828567056280802</v>
      </c>
      <c r="Y16" s="24">
        <f t="shared" si="14"/>
        <v>1.040707043925437</v>
      </c>
    </row>
    <row r="17" spans="2:25" ht="12.75">
      <c r="B17">
        <v>3</v>
      </c>
      <c r="C17" s="19">
        <v>2016</v>
      </c>
      <c r="E17" s="24">
        <f t="shared" si="0"/>
        <v>1.3047731838292445</v>
      </c>
      <c r="F17" s="24">
        <f t="shared" si="1"/>
        <v>1.4270112153475287</v>
      </c>
      <c r="G17" s="24">
        <f t="shared" si="2"/>
        <v>1.3646760763517962</v>
      </c>
      <c r="I17" s="24">
        <f t="shared" si="3"/>
        <v>1.3047731838292445</v>
      </c>
      <c r="J17" s="24">
        <f t="shared" si="4"/>
        <v>1.4270112153475287</v>
      </c>
      <c r="K17" s="24">
        <f t="shared" si="5"/>
        <v>1.3646760763517962</v>
      </c>
      <c r="M17" s="24">
        <f t="shared" si="6"/>
        <v>1.3047731838292445</v>
      </c>
      <c r="N17" s="24">
        <f t="shared" si="7"/>
        <v>1.4270112153475287</v>
      </c>
      <c r="O17" s="24">
        <f t="shared" si="8"/>
        <v>1.3646760763517962</v>
      </c>
      <c r="R17" s="24">
        <f t="shared" si="9"/>
        <v>1.093685272684361</v>
      </c>
      <c r="S17" s="24">
        <f t="shared" si="10"/>
        <v>1.045910579145064</v>
      </c>
      <c r="U17" s="24">
        <f t="shared" si="11"/>
        <v>1.093685272684361</v>
      </c>
      <c r="V17" s="24">
        <f t="shared" si="12"/>
        <v>1.045910579145064</v>
      </c>
      <c r="X17" s="24">
        <f t="shared" si="13"/>
        <v>1.093685272684361</v>
      </c>
      <c r="Y17" s="24">
        <f t="shared" si="14"/>
        <v>1.045910579145064</v>
      </c>
    </row>
    <row r="18" spans="2:25" ht="12.75">
      <c r="B18">
        <v>4</v>
      </c>
      <c r="C18" s="19">
        <v>2017</v>
      </c>
      <c r="E18" s="24">
        <f t="shared" si="0"/>
        <v>1.3439163793441218</v>
      </c>
      <c r="F18" s="24">
        <f t="shared" si="1"/>
        <v>1.4845197673260342</v>
      </c>
      <c r="G18" s="24">
        <f t="shared" si="2"/>
        <v>1.4126444404355618</v>
      </c>
      <c r="I18" s="24">
        <f t="shared" si="3"/>
        <v>1.3439163793441218</v>
      </c>
      <c r="J18" s="24">
        <f t="shared" si="4"/>
        <v>1.4845197673260342</v>
      </c>
      <c r="K18" s="24">
        <f t="shared" si="5"/>
        <v>1.4126444404355618</v>
      </c>
      <c r="M18" s="24">
        <f t="shared" si="6"/>
        <v>1.3439163793441218</v>
      </c>
      <c r="N18" s="24">
        <f t="shared" si="7"/>
        <v>1.4845197673260342</v>
      </c>
      <c r="O18" s="24">
        <f t="shared" si="8"/>
        <v>1.4126444404355618</v>
      </c>
      <c r="R18" s="24">
        <f t="shared" si="9"/>
        <v>1.1046221254112047</v>
      </c>
      <c r="S18" s="24">
        <f t="shared" si="10"/>
        <v>1.0511401320407892</v>
      </c>
      <c r="U18" s="24">
        <f t="shared" si="11"/>
        <v>1.1046221254112047</v>
      </c>
      <c r="V18" s="24">
        <f t="shared" si="12"/>
        <v>1.0511401320407892</v>
      </c>
      <c r="X18" s="24">
        <f t="shared" si="13"/>
        <v>1.1046221254112047</v>
      </c>
      <c r="Y18" s="24">
        <f t="shared" si="14"/>
        <v>1.0511401320407892</v>
      </c>
    </row>
    <row r="19" spans="2:25" ht="12.75">
      <c r="B19">
        <v>5</v>
      </c>
      <c r="C19" s="19">
        <v>2018</v>
      </c>
      <c r="E19" s="24">
        <f t="shared" si="0"/>
        <v>1.3842338707244455</v>
      </c>
      <c r="F19" s="24">
        <f t="shared" si="1"/>
        <v>1.5443459139492735</v>
      </c>
      <c r="G19" s="24">
        <f t="shared" si="2"/>
        <v>1.462298892516872</v>
      </c>
      <c r="I19" s="24">
        <f t="shared" si="3"/>
        <v>1.3842338707244455</v>
      </c>
      <c r="J19" s="24">
        <f t="shared" si="4"/>
        <v>1.5443459139492735</v>
      </c>
      <c r="K19" s="24">
        <f t="shared" si="5"/>
        <v>1.462298892516872</v>
      </c>
      <c r="M19" s="24">
        <f t="shared" si="6"/>
        <v>1.3842338707244455</v>
      </c>
      <c r="N19" s="24">
        <f t="shared" si="7"/>
        <v>1.5443459139492735</v>
      </c>
      <c r="O19" s="24">
        <f t="shared" si="8"/>
        <v>1.462298892516872</v>
      </c>
      <c r="R19" s="24">
        <f t="shared" si="9"/>
        <v>1.1156683466653166</v>
      </c>
      <c r="S19" s="24">
        <f t="shared" si="10"/>
        <v>1.056395832700993</v>
      </c>
      <c r="U19" s="24">
        <f t="shared" si="11"/>
        <v>1.1156683466653166</v>
      </c>
      <c r="V19" s="24">
        <f t="shared" si="12"/>
        <v>1.056395832700993</v>
      </c>
      <c r="X19" s="24">
        <f t="shared" si="13"/>
        <v>1.1156683466653166</v>
      </c>
      <c r="Y19" s="24">
        <f t="shared" si="14"/>
        <v>1.056395832700993</v>
      </c>
    </row>
    <row r="20" spans="2:25" ht="12.75">
      <c r="B20">
        <v>6</v>
      </c>
      <c r="C20" s="19">
        <v>2019</v>
      </c>
      <c r="E20" s="24">
        <f t="shared" si="0"/>
        <v>1.4257608868461786</v>
      </c>
      <c r="F20" s="24">
        <f t="shared" si="1"/>
        <v>1.606583054281429</v>
      </c>
      <c r="G20" s="24">
        <f t="shared" si="2"/>
        <v>1.51369869858884</v>
      </c>
      <c r="I20" s="24">
        <f t="shared" si="3"/>
        <v>1.4257608868461786</v>
      </c>
      <c r="J20" s="24">
        <f t="shared" si="4"/>
        <v>1.606583054281429</v>
      </c>
      <c r="K20" s="24">
        <f t="shared" si="5"/>
        <v>1.51369869858884</v>
      </c>
      <c r="M20" s="24">
        <f t="shared" si="6"/>
        <v>1.4257608868461786</v>
      </c>
      <c r="N20" s="24">
        <f t="shared" si="7"/>
        <v>1.606583054281429</v>
      </c>
      <c r="O20" s="24">
        <f t="shared" si="8"/>
        <v>1.51369869858884</v>
      </c>
      <c r="R20" s="24">
        <f t="shared" si="9"/>
        <v>1.1268250301319698</v>
      </c>
      <c r="S20" s="24">
        <f t="shared" si="10"/>
        <v>1.0616778118644976</v>
      </c>
      <c r="U20" s="24">
        <f t="shared" si="11"/>
        <v>1.1268250301319698</v>
      </c>
      <c r="V20" s="24">
        <f t="shared" si="12"/>
        <v>1.0616778118644976</v>
      </c>
      <c r="X20" s="24">
        <f t="shared" si="13"/>
        <v>1.1268250301319698</v>
      </c>
      <c r="Y20" s="24">
        <f t="shared" si="14"/>
        <v>1.0616778118644976</v>
      </c>
    </row>
    <row r="21" spans="2:25" ht="12.75">
      <c r="B21">
        <v>7</v>
      </c>
      <c r="C21" s="19">
        <v>2020</v>
      </c>
      <c r="E21" s="24">
        <f t="shared" si="0"/>
        <v>1.468533713451564</v>
      </c>
      <c r="F21" s="24">
        <f t="shared" si="1"/>
        <v>1.6713283513689705</v>
      </c>
      <c r="G21" s="24">
        <f t="shared" si="2"/>
        <v>1.5669052078442376</v>
      </c>
      <c r="I21" s="24">
        <f t="shared" si="3"/>
        <v>1.468533713451564</v>
      </c>
      <c r="J21" s="24">
        <f t="shared" si="4"/>
        <v>1.6713283513689705</v>
      </c>
      <c r="K21" s="24">
        <f t="shared" si="5"/>
        <v>1.5669052078442376</v>
      </c>
      <c r="M21" s="24">
        <f t="shared" si="6"/>
        <v>1.468533713451564</v>
      </c>
      <c r="N21" s="24">
        <f t="shared" si="7"/>
        <v>1.6713283513689705</v>
      </c>
      <c r="O21" s="24">
        <f t="shared" si="8"/>
        <v>1.5669052078442376</v>
      </c>
      <c r="R21" s="24">
        <f t="shared" si="9"/>
        <v>1.1380932804332895</v>
      </c>
      <c r="S21" s="24">
        <f t="shared" si="10"/>
        <v>1.06698620092382</v>
      </c>
      <c r="U21" s="24">
        <f t="shared" si="11"/>
        <v>1.1380932804332895</v>
      </c>
      <c r="V21" s="24">
        <f t="shared" si="12"/>
        <v>1.06698620092382</v>
      </c>
      <c r="X21" s="24">
        <f t="shared" si="13"/>
        <v>1.1380932804332895</v>
      </c>
      <c r="Y21" s="24">
        <f t="shared" si="14"/>
        <v>1.06698620092382</v>
      </c>
    </row>
    <row r="22" spans="2:25" ht="12.75">
      <c r="B22">
        <v>8</v>
      </c>
      <c r="C22" s="19">
        <v>2021</v>
      </c>
      <c r="E22" s="24">
        <f t="shared" si="0"/>
        <v>1.512589724855111</v>
      </c>
      <c r="F22" s="24">
        <f t="shared" si="1"/>
        <v>1.7386828839291402</v>
      </c>
      <c r="G22" s="24">
        <f t="shared" si="2"/>
        <v>1.6219819258999628</v>
      </c>
      <c r="I22" s="24">
        <f t="shared" si="3"/>
        <v>1.512589724855111</v>
      </c>
      <c r="J22" s="24">
        <f t="shared" si="4"/>
        <v>1.7386828839291402</v>
      </c>
      <c r="K22" s="24">
        <f t="shared" si="5"/>
        <v>1.6219819258999628</v>
      </c>
      <c r="M22" s="24">
        <f t="shared" si="6"/>
        <v>1.512589724855111</v>
      </c>
      <c r="N22" s="24">
        <f t="shared" si="7"/>
        <v>1.7386828839291402</v>
      </c>
      <c r="O22" s="24">
        <f t="shared" si="8"/>
        <v>1.6219819258999628</v>
      </c>
      <c r="R22" s="24">
        <f t="shared" si="9"/>
        <v>1.1494742132376226</v>
      </c>
      <c r="S22" s="24">
        <f t="shared" si="10"/>
        <v>1.072321131928439</v>
      </c>
      <c r="U22" s="24">
        <f t="shared" si="11"/>
        <v>1.1494742132376226</v>
      </c>
      <c r="V22" s="24">
        <f t="shared" si="12"/>
        <v>1.072321131928439</v>
      </c>
      <c r="X22" s="24">
        <f t="shared" si="13"/>
        <v>1.1494742132376226</v>
      </c>
      <c r="Y22" s="24">
        <f t="shared" si="14"/>
        <v>1.072321131928439</v>
      </c>
    </row>
    <row r="23" spans="2:25" ht="12.75">
      <c r="B23">
        <v>9</v>
      </c>
      <c r="C23" s="19">
        <v>2022</v>
      </c>
      <c r="E23" s="24">
        <f t="shared" si="0"/>
        <v>1.5579674166007644</v>
      </c>
      <c r="F23" s="24">
        <f t="shared" si="1"/>
        <v>1.8087518041514843</v>
      </c>
      <c r="G23" s="24">
        <f t="shared" si="2"/>
        <v>1.6789945905953467</v>
      </c>
      <c r="I23" s="24">
        <f t="shared" si="3"/>
        <v>1.5579674166007644</v>
      </c>
      <c r="J23" s="24">
        <f t="shared" si="4"/>
        <v>1.8087518041514843</v>
      </c>
      <c r="K23" s="24">
        <f t="shared" si="5"/>
        <v>1.6789945905953467</v>
      </c>
      <c r="M23" s="24">
        <f t="shared" si="6"/>
        <v>1.5579674166007644</v>
      </c>
      <c r="N23" s="24">
        <f t="shared" si="7"/>
        <v>1.8087518041514843</v>
      </c>
      <c r="O23" s="24">
        <f t="shared" si="8"/>
        <v>1.6789945905953467</v>
      </c>
      <c r="R23" s="24">
        <f t="shared" si="9"/>
        <v>1.1609689553699984</v>
      </c>
      <c r="S23" s="24">
        <f t="shared" si="10"/>
        <v>1.0776827375880809</v>
      </c>
      <c r="U23" s="24">
        <f t="shared" si="11"/>
        <v>1.1609689553699984</v>
      </c>
      <c r="V23" s="24">
        <f t="shared" si="12"/>
        <v>1.0776827375880809</v>
      </c>
      <c r="X23" s="24">
        <f t="shared" si="13"/>
        <v>1.1609689553699984</v>
      </c>
      <c r="Y23" s="24">
        <f t="shared" si="14"/>
        <v>1.0776827375880809</v>
      </c>
    </row>
    <row r="24" spans="2:25" ht="12.75">
      <c r="B24">
        <v>10</v>
      </c>
      <c r="C24" s="19">
        <v>2023</v>
      </c>
      <c r="E24" s="24">
        <f t="shared" si="0"/>
        <v>1.604706439098787</v>
      </c>
      <c r="F24" s="24">
        <f t="shared" si="1"/>
        <v>1.881644501858789</v>
      </c>
      <c r="G24" s="24">
        <f t="shared" si="2"/>
        <v>1.738011250454773</v>
      </c>
      <c r="I24" s="24">
        <f t="shared" si="3"/>
        <v>1.604706439098787</v>
      </c>
      <c r="J24" s="24">
        <f t="shared" si="4"/>
        <v>1.881644501858789</v>
      </c>
      <c r="K24" s="24">
        <f t="shared" si="5"/>
        <v>1.738011250454773</v>
      </c>
      <c r="M24" s="24">
        <f t="shared" si="6"/>
        <v>1.604706439098787</v>
      </c>
      <c r="N24" s="24">
        <f t="shared" si="7"/>
        <v>1.881644501858789</v>
      </c>
      <c r="O24" s="24">
        <f t="shared" si="8"/>
        <v>1.738011250454773</v>
      </c>
      <c r="R24" s="24">
        <f t="shared" si="9"/>
        <v>1.1725786449236988</v>
      </c>
      <c r="S24" s="24">
        <f t="shared" si="10"/>
        <v>1.0830711512760212</v>
      </c>
      <c r="U24" s="24">
        <f t="shared" si="11"/>
        <v>1.1725786449236988</v>
      </c>
      <c r="V24" s="24">
        <f t="shared" si="12"/>
        <v>1.0830711512760212</v>
      </c>
      <c r="X24" s="24">
        <f t="shared" si="13"/>
        <v>1.1725786449236988</v>
      </c>
      <c r="Y24" s="24">
        <f t="shared" si="14"/>
        <v>1.0830711512760212</v>
      </c>
    </row>
    <row r="25" spans="2:25" ht="12.75">
      <c r="B25">
        <v>11</v>
      </c>
      <c r="C25" s="19">
        <v>2024</v>
      </c>
      <c r="E25" s="24">
        <f t="shared" si="0"/>
        <v>1.6528476322717507</v>
      </c>
      <c r="F25" s="24">
        <f t="shared" si="1"/>
        <v>1.9574747752836983</v>
      </c>
      <c r="G25" s="24">
        <f t="shared" si="2"/>
        <v>1.7991023459082582</v>
      </c>
      <c r="I25" s="24">
        <f t="shared" si="3"/>
        <v>1.6528476322717507</v>
      </c>
      <c r="J25" s="24">
        <f t="shared" si="4"/>
        <v>1.9574747752836983</v>
      </c>
      <c r="K25" s="24">
        <f t="shared" si="5"/>
        <v>1.7991023459082582</v>
      </c>
      <c r="M25" s="24">
        <f t="shared" si="6"/>
        <v>1.6528476322717507</v>
      </c>
      <c r="N25" s="24">
        <f t="shared" si="7"/>
        <v>1.9574747752836983</v>
      </c>
      <c r="O25" s="24">
        <f t="shared" si="8"/>
        <v>1.7991023459082582</v>
      </c>
      <c r="R25" s="24">
        <f t="shared" si="9"/>
        <v>1.1843044313729358</v>
      </c>
      <c r="S25" s="24">
        <f t="shared" si="10"/>
        <v>1.0884865070324012</v>
      </c>
      <c r="U25" s="24">
        <f t="shared" si="11"/>
        <v>1.1843044313729358</v>
      </c>
      <c r="V25" s="24">
        <f t="shared" si="12"/>
        <v>1.0884865070324012</v>
      </c>
      <c r="X25" s="24">
        <f t="shared" si="13"/>
        <v>1.1843044313729358</v>
      </c>
      <c r="Y25" s="24">
        <f t="shared" si="14"/>
        <v>1.0884865070324012</v>
      </c>
    </row>
    <row r="26" spans="2:25" ht="12.75">
      <c r="B26">
        <v>12</v>
      </c>
      <c r="C26" s="19">
        <v>2025</v>
      </c>
      <c r="E26" s="24">
        <f t="shared" si="0"/>
        <v>1.7024330612399032</v>
      </c>
      <c r="F26" s="24">
        <f t="shared" si="1"/>
        <v>2.0363610087276314</v>
      </c>
      <c r="G26" s="24">
        <f t="shared" si="2"/>
        <v>1.8623407933669336</v>
      </c>
      <c r="I26" s="24">
        <f t="shared" si="3"/>
        <v>1.7024330612399032</v>
      </c>
      <c r="J26" s="24">
        <f t="shared" si="4"/>
        <v>2.0363610087276314</v>
      </c>
      <c r="K26" s="24">
        <f t="shared" si="5"/>
        <v>1.8623407933669336</v>
      </c>
      <c r="M26" s="24">
        <f t="shared" si="6"/>
        <v>1.7024330612399032</v>
      </c>
      <c r="N26" s="24">
        <f t="shared" si="7"/>
        <v>2.0363610087276314</v>
      </c>
      <c r="O26" s="24">
        <f t="shared" si="8"/>
        <v>1.8623407933669336</v>
      </c>
      <c r="R26" s="24">
        <f t="shared" si="9"/>
        <v>1.1961474756866652</v>
      </c>
      <c r="S26" s="24">
        <f t="shared" si="10"/>
        <v>1.0939289395675629</v>
      </c>
      <c r="U26" s="24">
        <f t="shared" si="11"/>
        <v>1.1961474756866652</v>
      </c>
      <c r="V26" s="24">
        <f t="shared" si="12"/>
        <v>1.0939289395675629</v>
      </c>
      <c r="X26" s="24">
        <f t="shared" si="13"/>
        <v>1.1961474756866652</v>
      </c>
      <c r="Y26" s="24">
        <f t="shared" si="14"/>
        <v>1.0939289395675629</v>
      </c>
    </row>
    <row r="27" spans="2:25" ht="12.75">
      <c r="B27">
        <v>13</v>
      </c>
      <c r="C27" s="19">
        <v>2026</v>
      </c>
      <c r="E27" s="24">
        <f t="shared" si="0"/>
        <v>1.7535060530771003</v>
      </c>
      <c r="F27" s="24">
        <f t="shared" si="1"/>
        <v>2.118426357379355</v>
      </c>
      <c r="G27" s="24">
        <f t="shared" si="2"/>
        <v>1.9278020722537814</v>
      </c>
      <c r="I27" s="24">
        <f t="shared" si="3"/>
        <v>1.7535060530771003</v>
      </c>
      <c r="J27" s="24">
        <f t="shared" si="4"/>
        <v>2.118426357379355</v>
      </c>
      <c r="K27" s="24">
        <f t="shared" si="5"/>
        <v>1.9278020722537814</v>
      </c>
      <c r="M27" s="24">
        <f t="shared" si="6"/>
        <v>1.7535060530771003</v>
      </c>
      <c r="N27" s="24">
        <f t="shared" si="7"/>
        <v>2.118426357379355</v>
      </c>
      <c r="O27" s="24">
        <f t="shared" si="8"/>
        <v>1.9278020722537814</v>
      </c>
      <c r="R27" s="24">
        <f t="shared" si="9"/>
        <v>1.2081089504435316</v>
      </c>
      <c r="S27" s="24">
        <f t="shared" si="10"/>
        <v>1.0993985842654006</v>
      </c>
      <c r="U27" s="24">
        <f t="shared" si="11"/>
        <v>1.2081089504435316</v>
      </c>
      <c r="V27" s="24">
        <f t="shared" si="12"/>
        <v>1.0993985842654006</v>
      </c>
      <c r="X27" s="24">
        <f t="shared" si="13"/>
        <v>1.2081089504435316</v>
      </c>
      <c r="Y27" s="24">
        <f t="shared" si="14"/>
        <v>1.0993985842654006</v>
      </c>
    </row>
    <row r="28" spans="2:25" ht="12.75">
      <c r="B28">
        <v>14</v>
      </c>
      <c r="C28" s="19">
        <v>2027</v>
      </c>
      <c r="E28" s="24">
        <f t="shared" si="0"/>
        <v>1.8061112346694133</v>
      </c>
      <c r="F28" s="24">
        <f t="shared" si="1"/>
        <v>2.2037989395817426</v>
      </c>
      <c r="G28" s="24">
        <f t="shared" si="2"/>
        <v>1.9955643150935016</v>
      </c>
      <c r="I28" s="24">
        <f t="shared" si="3"/>
        <v>1.8061112346694133</v>
      </c>
      <c r="J28" s="24">
        <f t="shared" si="4"/>
        <v>2.2037989395817426</v>
      </c>
      <c r="K28" s="24">
        <f t="shared" si="5"/>
        <v>1.9955643150935016</v>
      </c>
      <c r="M28" s="24">
        <f t="shared" si="6"/>
        <v>1.8061112346694133</v>
      </c>
      <c r="N28" s="24">
        <f t="shared" si="7"/>
        <v>2.2037989395817426</v>
      </c>
      <c r="O28" s="24">
        <f t="shared" si="8"/>
        <v>1.9955643150935016</v>
      </c>
      <c r="R28" s="24">
        <f t="shared" si="9"/>
        <v>1.220190039947967</v>
      </c>
      <c r="S28" s="24">
        <f t="shared" si="10"/>
        <v>1.1048955771867275</v>
      </c>
      <c r="U28" s="24">
        <f t="shared" si="11"/>
        <v>1.220190039947967</v>
      </c>
      <c r="V28" s="24">
        <f t="shared" si="12"/>
        <v>1.1048955771867275</v>
      </c>
      <c r="X28" s="24">
        <f t="shared" si="13"/>
        <v>1.220190039947967</v>
      </c>
      <c r="Y28" s="24">
        <f t="shared" si="14"/>
        <v>1.1048955771867275</v>
      </c>
    </row>
    <row r="29" spans="2:25" ht="12.75">
      <c r="B29">
        <v>15</v>
      </c>
      <c r="C29" s="19">
        <v>2028</v>
      </c>
      <c r="E29" s="24">
        <f t="shared" si="0"/>
        <v>1.8602945717094954</v>
      </c>
      <c r="F29" s="24">
        <f t="shared" si="1"/>
        <v>2.292612036846887</v>
      </c>
      <c r="G29" s="24">
        <f t="shared" si="2"/>
        <v>2.0657084007690383</v>
      </c>
      <c r="I29" s="24">
        <f t="shared" si="3"/>
        <v>1.8602945717094954</v>
      </c>
      <c r="J29" s="24">
        <f t="shared" si="4"/>
        <v>2.292612036846887</v>
      </c>
      <c r="K29" s="24">
        <f t="shared" si="5"/>
        <v>2.0657084007690383</v>
      </c>
      <c r="M29" s="24">
        <f t="shared" si="6"/>
        <v>1.8602945717094954</v>
      </c>
      <c r="N29" s="24">
        <f t="shared" si="7"/>
        <v>2.292612036846887</v>
      </c>
      <c r="O29" s="24">
        <f t="shared" si="8"/>
        <v>2.0657084007690383</v>
      </c>
      <c r="R29" s="24">
        <f t="shared" si="9"/>
        <v>1.2323919403474466</v>
      </c>
      <c r="S29" s="24">
        <f t="shared" si="10"/>
        <v>1.1104200550726608</v>
      </c>
      <c r="U29" s="24">
        <f t="shared" si="11"/>
        <v>1.2323919403474466</v>
      </c>
      <c r="V29" s="24">
        <f t="shared" si="12"/>
        <v>1.1104200550726608</v>
      </c>
      <c r="X29" s="24">
        <f t="shared" si="13"/>
        <v>1.2323919403474466</v>
      </c>
      <c r="Y29" s="24">
        <f t="shared" si="14"/>
        <v>1.1104200550726608</v>
      </c>
    </row>
    <row r="30" spans="2:25" ht="12.75">
      <c r="B30">
        <v>16</v>
      </c>
      <c r="C30" s="19">
        <v>2029</v>
      </c>
      <c r="E30" s="24">
        <f t="shared" si="0"/>
        <v>1.9161034088607805</v>
      </c>
      <c r="F30" s="24">
        <f t="shared" si="1"/>
        <v>2.3850043019318163</v>
      </c>
      <c r="G30" s="24">
        <f t="shared" si="2"/>
        <v>2.13831805105607</v>
      </c>
      <c r="I30" s="24">
        <f t="shared" si="3"/>
        <v>1.9161034088607805</v>
      </c>
      <c r="J30" s="24">
        <f t="shared" si="4"/>
        <v>2.3850043019318163</v>
      </c>
      <c r="K30" s="24">
        <f t="shared" si="5"/>
        <v>2.13831805105607</v>
      </c>
      <c r="M30" s="24">
        <f t="shared" si="6"/>
        <v>1.9161034088607805</v>
      </c>
      <c r="N30" s="24">
        <f t="shared" si="7"/>
        <v>2.3850043019318163</v>
      </c>
      <c r="O30" s="24">
        <f t="shared" si="8"/>
        <v>2.13831805105607</v>
      </c>
      <c r="R30" s="24">
        <f t="shared" si="9"/>
        <v>1.2447158597509214</v>
      </c>
      <c r="S30" s="24">
        <f t="shared" si="10"/>
        <v>1.115972155348024</v>
      </c>
      <c r="U30" s="24">
        <f t="shared" si="11"/>
        <v>1.2447158597509214</v>
      </c>
      <c r="V30" s="24">
        <f t="shared" si="12"/>
        <v>1.115972155348024</v>
      </c>
      <c r="X30" s="24">
        <f t="shared" si="13"/>
        <v>1.2447158597509214</v>
      </c>
      <c r="Y30" s="24">
        <f t="shared" si="14"/>
        <v>1.115972155348024</v>
      </c>
    </row>
    <row r="31" spans="2:25" ht="12.75">
      <c r="B31">
        <v>17</v>
      </c>
      <c r="C31" s="19">
        <v>2030</v>
      </c>
      <c r="E31" s="24">
        <f t="shared" si="0"/>
        <v>1.973586511126604</v>
      </c>
      <c r="F31" s="24">
        <f t="shared" si="1"/>
        <v>2.4811199752996687</v>
      </c>
      <c r="G31" s="24">
        <f t="shared" si="2"/>
        <v>2.213479930550691</v>
      </c>
      <c r="I31" s="24">
        <f t="shared" si="3"/>
        <v>1.973586511126604</v>
      </c>
      <c r="J31" s="24">
        <f t="shared" si="4"/>
        <v>2.4811199752996687</v>
      </c>
      <c r="K31" s="24">
        <f t="shared" si="5"/>
        <v>2.213479930550691</v>
      </c>
      <c r="M31" s="24">
        <f t="shared" si="6"/>
        <v>1.973586511126604</v>
      </c>
      <c r="N31" s="24">
        <f t="shared" si="7"/>
        <v>2.4811199752996687</v>
      </c>
      <c r="O31" s="24">
        <f t="shared" si="8"/>
        <v>2.213479930550691</v>
      </c>
      <c r="R31" s="24">
        <f t="shared" si="9"/>
        <v>1.2571630183484304</v>
      </c>
      <c r="S31" s="24">
        <f t="shared" si="10"/>
        <v>1.1215520161247639</v>
      </c>
      <c r="U31" s="24">
        <f t="shared" si="11"/>
        <v>1.2571630183484304</v>
      </c>
      <c r="V31" s="24">
        <f t="shared" si="12"/>
        <v>1.1215520161247639</v>
      </c>
      <c r="X31" s="24">
        <f t="shared" si="13"/>
        <v>1.2571630183484304</v>
      </c>
      <c r="Y31" s="24">
        <f t="shared" si="14"/>
        <v>1.1215520161247639</v>
      </c>
    </row>
    <row r="32" spans="2:25" ht="12.75">
      <c r="B32">
        <v>18</v>
      </c>
      <c r="C32" s="19">
        <v>2031</v>
      </c>
      <c r="E32" s="24">
        <f t="shared" si="0"/>
        <v>2.032794106460402</v>
      </c>
      <c r="F32" s="24">
        <f t="shared" si="1"/>
        <v>2.581109110304245</v>
      </c>
      <c r="G32" s="24">
        <f t="shared" si="2"/>
        <v>2.2912837501095478</v>
      </c>
      <c r="I32" s="24">
        <f t="shared" si="3"/>
        <v>2.032794106460402</v>
      </c>
      <c r="J32" s="24">
        <f t="shared" si="4"/>
        <v>2.581109110304245</v>
      </c>
      <c r="K32" s="24">
        <f t="shared" si="5"/>
        <v>2.2912837501095478</v>
      </c>
      <c r="M32" s="24">
        <f t="shared" si="6"/>
        <v>2.032794106460402</v>
      </c>
      <c r="N32" s="24">
        <f t="shared" si="7"/>
        <v>2.581109110304245</v>
      </c>
      <c r="O32" s="24">
        <f t="shared" si="8"/>
        <v>2.2912837501095478</v>
      </c>
      <c r="R32" s="24">
        <f t="shared" si="9"/>
        <v>1.269734648531915</v>
      </c>
      <c r="S32" s="24">
        <f t="shared" si="10"/>
        <v>1.1271597762053878</v>
      </c>
      <c r="U32" s="24">
        <f t="shared" si="11"/>
        <v>1.269734648531915</v>
      </c>
      <c r="V32" s="24">
        <f t="shared" si="12"/>
        <v>1.1271597762053878</v>
      </c>
      <c r="X32" s="24">
        <f t="shared" si="13"/>
        <v>1.269734648531915</v>
      </c>
      <c r="Y32" s="24">
        <f t="shared" si="14"/>
        <v>1.1271597762053878</v>
      </c>
    </row>
    <row r="33" spans="2:25" ht="12.75">
      <c r="B33">
        <v>19</v>
      </c>
      <c r="C33" s="19">
        <v>2032</v>
      </c>
      <c r="E33" s="24">
        <f t="shared" si="0"/>
        <v>2.093777929654214</v>
      </c>
      <c r="F33" s="24">
        <f t="shared" si="1"/>
        <v>2.685127807449506</v>
      </c>
      <c r="G33" s="24">
        <f t="shared" si="2"/>
        <v>2.3718223739258986</v>
      </c>
      <c r="I33" s="24">
        <f t="shared" si="3"/>
        <v>2.093777929654214</v>
      </c>
      <c r="J33" s="24">
        <f t="shared" si="4"/>
        <v>2.685127807449506</v>
      </c>
      <c r="K33" s="24">
        <f t="shared" si="5"/>
        <v>2.3718223739258986</v>
      </c>
      <c r="M33" s="24">
        <f t="shared" si="6"/>
        <v>2.093777929654214</v>
      </c>
      <c r="N33" s="24">
        <f t="shared" si="7"/>
        <v>2.685127807449506</v>
      </c>
      <c r="O33" s="24">
        <f t="shared" si="8"/>
        <v>2.3718223739258986</v>
      </c>
      <c r="R33" s="24">
        <f t="shared" si="9"/>
        <v>1.2824319950172343</v>
      </c>
      <c r="S33" s="24">
        <f t="shared" si="10"/>
        <v>1.1327955750864145</v>
      </c>
      <c r="U33" s="24">
        <f t="shared" si="11"/>
        <v>1.2824319950172343</v>
      </c>
      <c r="V33" s="24">
        <f t="shared" si="12"/>
        <v>1.1327955750864145</v>
      </c>
      <c r="X33" s="24">
        <f t="shared" si="13"/>
        <v>1.2824319950172343</v>
      </c>
      <c r="Y33" s="24">
        <f t="shared" si="14"/>
        <v>1.1327955750864145</v>
      </c>
    </row>
    <row r="34" spans="2:25" ht="12.75">
      <c r="B34">
        <v>20</v>
      </c>
      <c r="C34" s="19">
        <v>2033</v>
      </c>
      <c r="E34" s="24">
        <f t="shared" si="0"/>
        <v>2.1565912675438406</v>
      </c>
      <c r="F34" s="24">
        <f t="shared" si="1"/>
        <v>2.793338458089721</v>
      </c>
      <c r="G34" s="24">
        <f t="shared" si="2"/>
        <v>2.4551919303693936</v>
      </c>
      <c r="I34" s="24">
        <f t="shared" si="3"/>
        <v>2.1565912675438406</v>
      </c>
      <c r="J34" s="24">
        <f t="shared" si="4"/>
        <v>2.793338458089721</v>
      </c>
      <c r="K34" s="24">
        <f t="shared" si="5"/>
        <v>2.4551919303693936</v>
      </c>
      <c r="M34" s="24">
        <f t="shared" si="6"/>
        <v>2.1565912675438406</v>
      </c>
      <c r="N34" s="24">
        <f t="shared" si="7"/>
        <v>2.793338458089721</v>
      </c>
      <c r="O34" s="24">
        <f t="shared" si="8"/>
        <v>2.4551919303693936</v>
      </c>
      <c r="R34" s="24">
        <f t="shared" si="9"/>
        <v>1.2952563149674066</v>
      </c>
      <c r="S34" s="24">
        <f t="shared" si="10"/>
        <v>1.1384595529618464</v>
      </c>
      <c r="U34" s="24">
        <f t="shared" si="11"/>
        <v>1.2952563149674066</v>
      </c>
      <c r="V34" s="24">
        <f t="shared" si="12"/>
        <v>1.1384595529618464</v>
      </c>
      <c r="X34" s="24">
        <f t="shared" si="13"/>
        <v>1.2952563149674066</v>
      </c>
      <c r="Y34" s="24">
        <f t="shared" si="14"/>
        <v>1.1384595529618464</v>
      </c>
    </row>
    <row r="35" spans="2:25" ht="12.75">
      <c r="B35">
        <v>21</v>
      </c>
      <c r="C35" s="19">
        <v>2034</v>
      </c>
      <c r="E35" s="24">
        <f t="shared" si="0"/>
        <v>2.2212890055701555</v>
      </c>
      <c r="F35" s="24">
        <f t="shared" si="1"/>
        <v>2.905909997950737</v>
      </c>
      <c r="G35" s="24">
        <f t="shared" si="2"/>
        <v>2.5414919267218785</v>
      </c>
      <c r="I35" s="24">
        <f t="shared" si="3"/>
        <v>2.2212890055701555</v>
      </c>
      <c r="J35" s="24">
        <f t="shared" si="4"/>
        <v>2.905909997950737</v>
      </c>
      <c r="K35" s="24">
        <f t="shared" si="5"/>
        <v>2.5414919267218785</v>
      </c>
      <c r="M35" s="24">
        <f t="shared" si="6"/>
        <v>2.2212890055701555</v>
      </c>
      <c r="N35" s="24">
        <f t="shared" si="7"/>
        <v>2.905909997950737</v>
      </c>
      <c r="O35" s="24">
        <f t="shared" si="8"/>
        <v>2.5414919267218785</v>
      </c>
      <c r="R35" s="24">
        <f t="shared" si="9"/>
        <v>1.3082088781170802</v>
      </c>
      <c r="S35" s="24">
        <f t="shared" si="10"/>
        <v>1.1441518507266555</v>
      </c>
      <c r="U35" s="24">
        <f t="shared" si="11"/>
        <v>1.3082088781170802</v>
      </c>
      <c r="V35" s="24">
        <f t="shared" si="12"/>
        <v>1.1441518507266555</v>
      </c>
      <c r="X35" s="24">
        <f t="shared" si="13"/>
        <v>1.3082088781170802</v>
      </c>
      <c r="Y35" s="24">
        <f t="shared" si="14"/>
        <v>1.1441518507266555</v>
      </c>
    </row>
    <row r="36" spans="2:25" ht="12.75">
      <c r="B36">
        <v>22</v>
      </c>
      <c r="C36" s="19">
        <v>2035</v>
      </c>
      <c r="E36" s="24">
        <f t="shared" si="0"/>
        <v>2.28792767573726</v>
      </c>
      <c r="F36" s="24">
        <f t="shared" si="1"/>
        <v>3.023018170868151</v>
      </c>
      <c r="G36" s="24">
        <f t="shared" si="2"/>
        <v>2.6308253679461524</v>
      </c>
      <c r="I36" s="24">
        <f t="shared" si="3"/>
        <v>2.28792767573726</v>
      </c>
      <c r="J36" s="24">
        <f t="shared" si="4"/>
        <v>3.023018170868151</v>
      </c>
      <c r="K36" s="24">
        <f t="shared" si="5"/>
        <v>2.6308253679461524</v>
      </c>
      <c r="M36" s="24">
        <f t="shared" si="6"/>
        <v>2.28792767573726</v>
      </c>
      <c r="N36" s="24">
        <f t="shared" si="7"/>
        <v>3.023018170868151</v>
      </c>
      <c r="O36" s="24">
        <f t="shared" si="8"/>
        <v>2.6308253679461524</v>
      </c>
      <c r="R36" s="24">
        <f t="shared" si="9"/>
        <v>1.321290966898251</v>
      </c>
      <c r="S36" s="24">
        <f t="shared" si="10"/>
        <v>1.1498726099802885</v>
      </c>
      <c r="U36" s="24">
        <f t="shared" si="11"/>
        <v>1.321290966898251</v>
      </c>
      <c r="V36" s="24">
        <f t="shared" si="12"/>
        <v>1.1498726099802885</v>
      </c>
      <c r="X36" s="24">
        <f t="shared" si="13"/>
        <v>1.321290966898251</v>
      </c>
      <c r="Y36" s="24">
        <f t="shared" si="14"/>
        <v>1.1498726099802885</v>
      </c>
    </row>
    <row r="37" spans="2:25" ht="12.75">
      <c r="B37">
        <v>23</v>
      </c>
      <c r="C37" s="19">
        <v>2036</v>
      </c>
      <c r="E37" s="24">
        <f t="shared" si="0"/>
        <v>2.3565655060093778</v>
      </c>
      <c r="F37" s="24">
        <f t="shared" si="1"/>
        <v>3.1448458031541375</v>
      </c>
      <c r="G37" s="24">
        <f t="shared" si="2"/>
        <v>2.7232988796294593</v>
      </c>
      <c r="I37" s="24">
        <f t="shared" si="3"/>
        <v>2.3565655060093778</v>
      </c>
      <c r="J37" s="24">
        <f t="shared" si="4"/>
        <v>3.1448458031541375</v>
      </c>
      <c r="K37" s="24">
        <f t="shared" si="5"/>
        <v>2.7232988796294593</v>
      </c>
      <c r="M37" s="24">
        <f t="shared" si="6"/>
        <v>2.3565655060093778</v>
      </c>
      <c r="N37" s="24">
        <f t="shared" si="7"/>
        <v>3.1448458031541375</v>
      </c>
      <c r="O37" s="24">
        <f t="shared" si="8"/>
        <v>2.7232988796294593</v>
      </c>
      <c r="R37" s="24">
        <f t="shared" si="9"/>
        <v>1.3345038765672337</v>
      </c>
      <c r="S37" s="24">
        <f t="shared" si="10"/>
        <v>1.1556219730301898</v>
      </c>
      <c r="U37" s="24">
        <f t="shared" si="11"/>
        <v>1.3345038765672337</v>
      </c>
      <c r="V37" s="24">
        <f t="shared" si="12"/>
        <v>1.1556219730301898</v>
      </c>
      <c r="X37" s="24">
        <f t="shared" si="13"/>
        <v>1.3345038765672337</v>
      </c>
      <c r="Y37" s="24">
        <f t="shared" si="14"/>
        <v>1.1556219730301898</v>
      </c>
    </row>
    <row r="38" spans="2:25" ht="12.75">
      <c r="B38">
        <v>24</v>
      </c>
      <c r="C38" s="19">
        <v>2037</v>
      </c>
      <c r="E38" s="24">
        <f t="shared" si="0"/>
        <v>2.427262471189659</v>
      </c>
      <c r="F38" s="24">
        <f t="shared" si="1"/>
        <v>3.2715830890212496</v>
      </c>
      <c r="G38" s="24">
        <f t="shared" si="2"/>
        <v>2.819022835248435</v>
      </c>
      <c r="I38" s="24">
        <f t="shared" si="3"/>
        <v>2.427262471189659</v>
      </c>
      <c r="J38" s="24">
        <f t="shared" si="4"/>
        <v>3.2715830890212496</v>
      </c>
      <c r="K38" s="24">
        <f t="shared" si="5"/>
        <v>2.819022835248435</v>
      </c>
      <c r="M38" s="24">
        <f t="shared" si="6"/>
        <v>2.427262471189659</v>
      </c>
      <c r="N38" s="24">
        <f t="shared" si="7"/>
        <v>3.2715830890212496</v>
      </c>
      <c r="O38" s="24">
        <f t="shared" si="8"/>
        <v>2.819022835248435</v>
      </c>
      <c r="R38" s="24">
        <f t="shared" si="9"/>
        <v>1.3478489153329063</v>
      </c>
      <c r="S38" s="24">
        <f t="shared" si="10"/>
        <v>1.1614000828953406</v>
      </c>
      <c r="U38" s="24">
        <f t="shared" si="11"/>
        <v>1.3478489153329063</v>
      </c>
      <c r="V38" s="24">
        <f t="shared" si="12"/>
        <v>1.1614000828953406</v>
      </c>
      <c r="X38" s="24">
        <f t="shared" si="13"/>
        <v>1.3478489153329063</v>
      </c>
      <c r="Y38" s="24">
        <f t="shared" si="14"/>
        <v>1.1614000828953406</v>
      </c>
    </row>
    <row r="39" spans="2:25" ht="12.75">
      <c r="B39">
        <v>25</v>
      </c>
      <c r="C39" s="19">
        <v>2038</v>
      </c>
      <c r="E39" s="24">
        <f t="shared" si="0"/>
        <v>2.5000803453253493</v>
      </c>
      <c r="F39" s="24">
        <f t="shared" si="1"/>
        <v>3.4034278875088058</v>
      </c>
      <c r="G39" s="24">
        <f t="shared" si="2"/>
        <v>2.918111487907418</v>
      </c>
      <c r="I39" s="24">
        <f t="shared" si="3"/>
        <v>2.5000803453253493</v>
      </c>
      <c r="J39" s="24">
        <f t="shared" si="4"/>
        <v>3.4034278875088058</v>
      </c>
      <c r="K39" s="24">
        <f t="shared" si="5"/>
        <v>2.918111487907418</v>
      </c>
      <c r="M39" s="24">
        <f t="shared" si="6"/>
        <v>2.5000803453253493</v>
      </c>
      <c r="N39" s="24">
        <f t="shared" si="7"/>
        <v>3.4034278875088058</v>
      </c>
      <c r="O39" s="24">
        <f t="shared" si="8"/>
        <v>2.918111487907418</v>
      </c>
      <c r="R39" s="24">
        <f t="shared" si="9"/>
        <v>1.361327404486235</v>
      </c>
      <c r="S39" s="24">
        <f t="shared" si="10"/>
        <v>1.167207083309817</v>
      </c>
      <c r="U39" s="24">
        <f t="shared" si="11"/>
        <v>1.361327404486235</v>
      </c>
      <c r="V39" s="24">
        <f t="shared" si="12"/>
        <v>1.167207083309817</v>
      </c>
      <c r="X39" s="24">
        <f t="shared" si="13"/>
        <v>1.361327404486235</v>
      </c>
      <c r="Y39" s="24">
        <f t="shared" si="14"/>
        <v>1.167207083309817</v>
      </c>
    </row>
    <row r="40" spans="2:25" ht="12.75">
      <c r="B40">
        <v>26</v>
      </c>
      <c r="C40" s="19">
        <v>2039</v>
      </c>
      <c r="E40" s="24">
        <f t="shared" si="0"/>
        <v>2.5750827556851092</v>
      </c>
      <c r="F40" s="24">
        <f t="shared" si="1"/>
        <v>3.5405860313754105</v>
      </c>
      <c r="G40" s="24">
        <f t="shared" si="2"/>
        <v>3.0206831067073634</v>
      </c>
      <c r="I40" s="24">
        <f t="shared" si="3"/>
        <v>2.5750827556851092</v>
      </c>
      <c r="J40" s="24">
        <f t="shared" si="4"/>
        <v>3.5405860313754105</v>
      </c>
      <c r="K40" s="24">
        <f t="shared" si="5"/>
        <v>3.0206831067073634</v>
      </c>
      <c r="M40" s="24">
        <f t="shared" si="6"/>
        <v>2.5750827556851092</v>
      </c>
      <c r="N40" s="24">
        <f t="shared" si="7"/>
        <v>3.5405860313754105</v>
      </c>
      <c r="O40" s="24">
        <f t="shared" si="8"/>
        <v>3.0206831067073634</v>
      </c>
      <c r="R40" s="24">
        <f t="shared" si="9"/>
        <v>1.3749406785310976</v>
      </c>
      <c r="S40" s="24">
        <f t="shared" si="10"/>
        <v>1.173043118726366</v>
      </c>
      <c r="U40" s="24">
        <f t="shared" si="11"/>
        <v>1.3749406785310976</v>
      </c>
      <c r="V40" s="24">
        <f t="shared" si="12"/>
        <v>1.173043118726366</v>
      </c>
      <c r="X40" s="24">
        <f t="shared" si="13"/>
        <v>1.3749406785310976</v>
      </c>
      <c r="Y40" s="24">
        <f t="shared" si="14"/>
        <v>1.173043118726366</v>
      </c>
    </row>
    <row r="41" spans="2:25" ht="12.75">
      <c r="B41">
        <v>27</v>
      </c>
      <c r="C41" s="19">
        <v>2040</v>
      </c>
      <c r="E41" s="24">
        <f t="shared" si="0"/>
        <v>2.6523352383556626</v>
      </c>
      <c r="F41" s="24">
        <f t="shared" si="1"/>
        <v>3.6832716484398396</v>
      </c>
      <c r="G41" s="24">
        <f t="shared" si="2"/>
        <v>3.1268601179081275</v>
      </c>
      <c r="I41" s="24">
        <f t="shared" si="3"/>
        <v>2.6523352383556626</v>
      </c>
      <c r="J41" s="24">
        <f t="shared" si="4"/>
        <v>3.6832716484398396</v>
      </c>
      <c r="K41" s="24">
        <f t="shared" si="5"/>
        <v>3.1268601179081275</v>
      </c>
      <c r="M41" s="24">
        <f t="shared" si="6"/>
        <v>2.6523352383556626</v>
      </c>
      <c r="N41" s="24">
        <f t="shared" si="7"/>
        <v>3.6832716484398396</v>
      </c>
      <c r="O41" s="24">
        <f t="shared" si="8"/>
        <v>3.1268601179081275</v>
      </c>
      <c r="R41" s="24">
        <f t="shared" si="9"/>
        <v>1.3886900853164086</v>
      </c>
      <c r="S41" s="24">
        <f t="shared" si="10"/>
        <v>1.1789083343199975</v>
      </c>
      <c r="U41" s="24">
        <f t="shared" si="11"/>
        <v>1.3886900853164086</v>
      </c>
      <c r="V41" s="24">
        <f t="shared" si="12"/>
        <v>1.1789083343199975</v>
      </c>
      <c r="X41" s="24">
        <f t="shared" si="13"/>
        <v>1.3886900853164086</v>
      </c>
      <c r="Y41" s="24">
        <f t="shared" si="14"/>
        <v>1.1789083343199975</v>
      </c>
    </row>
    <row r="42" spans="2:25" ht="12.75">
      <c r="B42">
        <v>28</v>
      </c>
      <c r="C42" s="19">
        <v>2041</v>
      </c>
      <c r="E42" s="24">
        <f t="shared" si="0"/>
        <v>2.731905295506332</v>
      </c>
      <c r="F42" s="24">
        <f t="shared" si="1"/>
        <v>3.831707495871965</v>
      </c>
      <c r="G42" s="24">
        <f t="shared" si="2"/>
        <v>3.236769251052598</v>
      </c>
      <c r="I42" s="24">
        <f t="shared" si="3"/>
        <v>2.731905295506332</v>
      </c>
      <c r="J42" s="24">
        <f t="shared" si="4"/>
        <v>3.831707495871965</v>
      </c>
      <c r="K42" s="24">
        <f t="shared" si="5"/>
        <v>3.236769251052598</v>
      </c>
      <c r="M42" s="24">
        <f t="shared" si="6"/>
        <v>2.731905295506332</v>
      </c>
      <c r="N42" s="24">
        <f t="shared" si="7"/>
        <v>3.831707495871965</v>
      </c>
      <c r="O42" s="24">
        <f t="shared" si="8"/>
        <v>3.236769251052598</v>
      </c>
      <c r="R42" s="24">
        <f t="shared" si="9"/>
        <v>1.4025769861695727</v>
      </c>
      <c r="S42" s="24">
        <f t="shared" si="10"/>
        <v>1.1848028759915974</v>
      </c>
      <c r="U42" s="24">
        <f t="shared" si="11"/>
        <v>1.4025769861695727</v>
      </c>
      <c r="V42" s="24">
        <f t="shared" si="12"/>
        <v>1.1848028759915974</v>
      </c>
      <c r="X42" s="24">
        <f t="shared" si="13"/>
        <v>1.4025769861695727</v>
      </c>
      <c r="Y42" s="24">
        <f t="shared" si="14"/>
        <v>1.1848028759915974</v>
      </c>
    </row>
    <row r="43" spans="2:25" ht="12.75">
      <c r="B43">
        <v>29</v>
      </c>
      <c r="C43" s="19">
        <v>2042</v>
      </c>
      <c r="E43" s="24">
        <f t="shared" si="0"/>
        <v>2.8138624543715225</v>
      </c>
      <c r="F43" s="24">
        <f t="shared" si="1"/>
        <v>3.9861253079556054</v>
      </c>
      <c r="G43" s="24">
        <f t="shared" si="2"/>
        <v>3.350541690227097</v>
      </c>
      <c r="I43" s="24">
        <f t="shared" si="3"/>
        <v>2.8138624543715225</v>
      </c>
      <c r="J43" s="24">
        <f t="shared" si="4"/>
        <v>3.9861253079556054</v>
      </c>
      <c r="K43" s="24">
        <f t="shared" si="5"/>
        <v>3.350541690227097</v>
      </c>
      <c r="M43" s="24">
        <f t="shared" si="6"/>
        <v>2.8138624543715225</v>
      </c>
      <c r="N43" s="24">
        <f t="shared" si="7"/>
        <v>3.9861253079556054</v>
      </c>
      <c r="O43" s="24">
        <f t="shared" si="8"/>
        <v>3.350541690227097</v>
      </c>
      <c r="R43" s="24">
        <f t="shared" si="9"/>
        <v>1.4166027560312682</v>
      </c>
      <c r="S43" s="24">
        <f t="shared" si="10"/>
        <v>1.1907268903715553</v>
      </c>
      <c r="U43" s="24">
        <f t="shared" si="11"/>
        <v>1.4166027560312682</v>
      </c>
      <c r="V43" s="24">
        <f t="shared" si="12"/>
        <v>1.1907268903715553</v>
      </c>
      <c r="X43" s="24">
        <f t="shared" si="13"/>
        <v>1.4166027560312682</v>
      </c>
      <c r="Y43" s="24">
        <f t="shared" si="14"/>
        <v>1.1907268903715553</v>
      </c>
    </row>
    <row r="44" spans="2:25" ht="12.75">
      <c r="B44">
        <v>30</v>
      </c>
      <c r="C44" s="19">
        <v>2043</v>
      </c>
      <c r="E44" s="24">
        <f t="shared" si="0"/>
        <v>2.898278328002668</v>
      </c>
      <c r="F44" s="24">
        <f t="shared" si="1"/>
        <v>4.146766157866216</v>
      </c>
      <c r="G44" s="24">
        <f t="shared" si="2"/>
        <v>3.4683132306385795</v>
      </c>
      <c r="I44" s="24">
        <f t="shared" si="3"/>
        <v>2.898278328002668</v>
      </c>
      <c r="J44" s="24">
        <f t="shared" si="4"/>
        <v>4.146766157866216</v>
      </c>
      <c r="K44" s="24">
        <f t="shared" si="5"/>
        <v>3.4683132306385795</v>
      </c>
      <c r="M44" s="24">
        <f t="shared" si="6"/>
        <v>2.898278328002668</v>
      </c>
      <c r="N44" s="24">
        <f t="shared" si="7"/>
        <v>4.146766157866216</v>
      </c>
      <c r="O44" s="24">
        <f t="shared" si="8"/>
        <v>3.4683132306385795</v>
      </c>
      <c r="R44" s="24">
        <f t="shared" si="9"/>
        <v>1.430768783591581</v>
      </c>
      <c r="S44" s="24">
        <f t="shared" si="10"/>
        <v>1.1966805248234127</v>
      </c>
      <c r="U44" s="24">
        <f t="shared" si="11"/>
        <v>1.430768783591581</v>
      </c>
      <c r="V44" s="24">
        <f t="shared" si="12"/>
        <v>1.1966805248234127</v>
      </c>
      <c r="X44" s="24">
        <f t="shared" si="13"/>
        <v>1.430768783591581</v>
      </c>
      <c r="Y44" s="24">
        <f t="shared" si="14"/>
        <v>1.1966805248234127</v>
      </c>
    </row>
    <row r="45" spans="2:25" ht="12.75">
      <c r="B45">
        <v>31</v>
      </c>
      <c r="C45" s="19">
        <v>2044</v>
      </c>
      <c r="E45" s="24">
        <f t="shared" si="0"/>
        <v>2.9852266778427476</v>
      </c>
      <c r="F45" s="24">
        <f t="shared" si="1"/>
        <v>4.313880834028224</v>
      </c>
      <c r="G45" s="24">
        <f t="shared" si="2"/>
        <v>3.5902244406955255</v>
      </c>
      <c r="I45" s="24">
        <f t="shared" si="3"/>
        <v>2.9852266778427476</v>
      </c>
      <c r="J45" s="24">
        <f t="shared" si="4"/>
        <v>4.313880834028224</v>
      </c>
      <c r="K45" s="24">
        <f t="shared" si="5"/>
        <v>3.5902244406955255</v>
      </c>
      <c r="M45" s="24">
        <f t="shared" si="6"/>
        <v>2.9852266778427476</v>
      </c>
      <c r="N45" s="24">
        <f t="shared" si="7"/>
        <v>4.313880834028224</v>
      </c>
      <c r="O45" s="24">
        <f t="shared" si="8"/>
        <v>3.5902244406955255</v>
      </c>
      <c r="R45" s="24">
        <f t="shared" si="9"/>
        <v>1.4450764714274968</v>
      </c>
      <c r="S45" s="24">
        <f t="shared" si="10"/>
        <v>1.2026639274475295</v>
      </c>
      <c r="U45" s="24">
        <f t="shared" si="11"/>
        <v>1.4450764714274968</v>
      </c>
      <c r="V45" s="24">
        <f t="shared" si="12"/>
        <v>1.2026639274475295</v>
      </c>
      <c r="X45" s="24">
        <f t="shared" si="13"/>
        <v>1.4450764714274968</v>
      </c>
      <c r="Y45" s="24">
        <f t="shared" si="14"/>
        <v>1.2026639274475295</v>
      </c>
    </row>
    <row r="46" spans="2:25" ht="12.75">
      <c r="B46">
        <v>32</v>
      </c>
      <c r="C46" s="19">
        <v>2045</v>
      </c>
      <c r="E46" s="24">
        <f t="shared" si="0"/>
        <v>3.07478347817803</v>
      </c>
      <c r="F46" s="24">
        <f t="shared" si="1"/>
        <v>4.487730231639562</v>
      </c>
      <c r="G46" s="24">
        <f t="shared" si="2"/>
        <v>3.7164208297859735</v>
      </c>
      <c r="I46" s="24">
        <f t="shared" si="3"/>
        <v>3.07478347817803</v>
      </c>
      <c r="J46" s="24">
        <f t="shared" si="4"/>
        <v>4.487730231639562</v>
      </c>
      <c r="K46" s="24">
        <f t="shared" si="5"/>
        <v>3.7164208297859735</v>
      </c>
      <c r="M46" s="24">
        <f t="shared" si="6"/>
        <v>3.07478347817803</v>
      </c>
      <c r="N46" s="24">
        <f t="shared" si="7"/>
        <v>4.487730231639562</v>
      </c>
      <c r="O46" s="24">
        <f t="shared" si="8"/>
        <v>3.7164208297859735</v>
      </c>
      <c r="R46" s="24">
        <f t="shared" si="9"/>
        <v>1.459527236141772</v>
      </c>
      <c r="S46" s="24">
        <f t="shared" si="10"/>
        <v>1.208677247084767</v>
      </c>
      <c r="U46" s="24">
        <f t="shared" si="11"/>
        <v>1.459527236141772</v>
      </c>
      <c r="V46" s="24">
        <f t="shared" si="12"/>
        <v>1.208677247084767</v>
      </c>
      <c r="X46" s="24">
        <f t="shared" si="13"/>
        <v>1.459527236141772</v>
      </c>
      <c r="Y46" s="24">
        <f t="shared" si="14"/>
        <v>1.208677247084767</v>
      </c>
    </row>
    <row r="47" spans="2:25" ht="12.75">
      <c r="B47">
        <v>33</v>
      </c>
      <c r="C47" s="19">
        <v>2046</v>
      </c>
      <c r="E47" s="24">
        <f t="shared" si="0"/>
        <v>3.1670269825233714</v>
      </c>
      <c r="F47" s="24">
        <f t="shared" si="1"/>
        <v>4.668585759974636</v>
      </c>
      <c r="G47" s="24">
        <f t="shared" si="2"/>
        <v>3.847053021952951</v>
      </c>
      <c r="I47" s="24">
        <f t="shared" si="3"/>
        <v>3.1670269825233714</v>
      </c>
      <c r="J47" s="24">
        <f t="shared" si="4"/>
        <v>4.668585759974636</v>
      </c>
      <c r="K47" s="24">
        <f t="shared" si="5"/>
        <v>3.847053021952951</v>
      </c>
      <c r="M47" s="24">
        <f t="shared" si="6"/>
        <v>3.1670269825233714</v>
      </c>
      <c r="N47" s="24">
        <f t="shared" si="7"/>
        <v>4.668585759974636</v>
      </c>
      <c r="O47" s="24">
        <f t="shared" si="8"/>
        <v>3.847053021952951</v>
      </c>
      <c r="R47" s="24">
        <f t="shared" si="9"/>
        <v>1.4741225085031893</v>
      </c>
      <c r="S47" s="24">
        <f t="shared" si="10"/>
        <v>1.2147206333201908</v>
      </c>
      <c r="U47" s="24">
        <f t="shared" si="11"/>
        <v>1.4741225085031893</v>
      </c>
      <c r="V47" s="24">
        <f t="shared" si="12"/>
        <v>1.2147206333201908</v>
      </c>
      <c r="X47" s="24">
        <f t="shared" si="13"/>
        <v>1.4741225085031893</v>
      </c>
      <c r="Y47" s="24">
        <f t="shared" si="14"/>
        <v>1.2147206333201908</v>
      </c>
    </row>
    <row r="48" spans="2:25" ht="12.75">
      <c r="B48">
        <v>34</v>
      </c>
      <c r="C48" s="19">
        <v>2047</v>
      </c>
      <c r="E48" s="24">
        <f t="shared" si="0"/>
        <v>3.262037791999072</v>
      </c>
      <c r="F48" s="24">
        <f t="shared" si="1"/>
        <v>4.856729766101614</v>
      </c>
      <c r="G48" s="24">
        <f t="shared" si="2"/>
        <v>3.9822769356745966</v>
      </c>
      <c r="I48" s="24">
        <f t="shared" si="3"/>
        <v>3.262037791999072</v>
      </c>
      <c r="J48" s="24">
        <f t="shared" si="4"/>
        <v>4.856729766101614</v>
      </c>
      <c r="K48" s="24">
        <f t="shared" si="5"/>
        <v>3.9822769356745966</v>
      </c>
      <c r="M48" s="24">
        <f t="shared" si="6"/>
        <v>3.262037791999072</v>
      </c>
      <c r="N48" s="24">
        <f t="shared" si="7"/>
        <v>4.856729766101614</v>
      </c>
      <c r="O48" s="24">
        <f t="shared" si="8"/>
        <v>3.9822769356745966</v>
      </c>
      <c r="R48" s="24">
        <f t="shared" si="9"/>
        <v>1.4888637335882215</v>
      </c>
      <c r="S48" s="24">
        <f t="shared" si="10"/>
        <v>1.2207942364867916</v>
      </c>
      <c r="U48" s="24">
        <f t="shared" si="11"/>
        <v>1.4888637335882215</v>
      </c>
      <c r="V48" s="24">
        <f t="shared" si="12"/>
        <v>1.2207942364867916</v>
      </c>
      <c r="X48" s="24">
        <f t="shared" si="13"/>
        <v>1.4888637335882215</v>
      </c>
      <c r="Y48" s="24">
        <f t="shared" si="14"/>
        <v>1.2207942364867916</v>
      </c>
    </row>
    <row r="49" spans="2:25" ht="12.75">
      <c r="B49">
        <v>35</v>
      </c>
      <c r="C49" s="19">
        <v>2048</v>
      </c>
      <c r="E49" s="24">
        <f t="shared" si="0"/>
        <v>3.3598989257590444</v>
      </c>
      <c r="F49" s="24">
        <f t="shared" si="1"/>
        <v>5.052455975675508</v>
      </c>
      <c r="G49" s="24">
        <f t="shared" si="2"/>
        <v>4.122253969963559</v>
      </c>
      <c r="I49" s="24">
        <f t="shared" si="3"/>
        <v>3.3598989257590444</v>
      </c>
      <c r="J49" s="24">
        <f t="shared" si="4"/>
        <v>5.052455975675508</v>
      </c>
      <c r="K49" s="24">
        <f t="shared" si="5"/>
        <v>4.122253969963559</v>
      </c>
      <c r="M49" s="24">
        <f t="shared" si="6"/>
        <v>3.3598989257590444</v>
      </c>
      <c r="N49" s="24">
        <f t="shared" si="7"/>
        <v>5.052455975675508</v>
      </c>
      <c r="O49" s="24">
        <f t="shared" si="8"/>
        <v>4.122253969963559</v>
      </c>
      <c r="R49" s="24">
        <f t="shared" si="9"/>
        <v>1.5037523709241039</v>
      </c>
      <c r="S49" s="24">
        <f t="shared" si="10"/>
        <v>1.2268982076692254</v>
      </c>
      <c r="U49" s="24">
        <f t="shared" si="11"/>
        <v>1.5037523709241039</v>
      </c>
      <c r="V49" s="24">
        <f t="shared" si="12"/>
        <v>1.2268982076692254</v>
      </c>
      <c r="X49" s="24">
        <f t="shared" si="13"/>
        <v>1.5037523709241039</v>
      </c>
      <c r="Y49" s="24">
        <f t="shared" si="14"/>
        <v>1.2268982076692254</v>
      </c>
    </row>
    <row r="50" spans="2:25" ht="12.75">
      <c r="B50">
        <v>36</v>
      </c>
      <c r="C50" s="19">
        <v>2049</v>
      </c>
      <c r="E50" s="24">
        <f t="shared" si="0"/>
        <v>3.460695893531816</v>
      </c>
      <c r="F50" s="24">
        <f t="shared" si="1"/>
        <v>5.256069951495231</v>
      </c>
      <c r="G50" s="24">
        <f t="shared" si="2"/>
        <v>4.267151197007778</v>
      </c>
      <c r="I50" s="24">
        <f t="shared" si="3"/>
        <v>3.460695893531816</v>
      </c>
      <c r="J50" s="24">
        <f t="shared" si="4"/>
        <v>5.256069951495231</v>
      </c>
      <c r="K50" s="24">
        <f t="shared" si="5"/>
        <v>4.267151197007778</v>
      </c>
      <c r="M50" s="24">
        <f t="shared" si="6"/>
        <v>3.460695893531816</v>
      </c>
      <c r="N50" s="24">
        <f t="shared" si="7"/>
        <v>5.256069951495231</v>
      </c>
      <c r="O50" s="24">
        <f t="shared" si="8"/>
        <v>4.267151197007778</v>
      </c>
      <c r="R50" s="24">
        <f t="shared" si="9"/>
        <v>1.5187898946333451</v>
      </c>
      <c r="S50" s="24">
        <f t="shared" si="10"/>
        <v>1.2330326987075713</v>
      </c>
      <c r="U50" s="24">
        <f t="shared" si="11"/>
        <v>1.5187898946333451</v>
      </c>
      <c r="V50" s="24">
        <f t="shared" si="12"/>
        <v>1.2330326987075713</v>
      </c>
      <c r="X50" s="24">
        <f t="shared" si="13"/>
        <v>1.5187898946333451</v>
      </c>
      <c r="Y50" s="24">
        <f t="shared" si="14"/>
        <v>1.2330326987075713</v>
      </c>
    </row>
    <row r="51" spans="2:25" ht="12.75">
      <c r="B51">
        <v>37</v>
      </c>
      <c r="C51" s="19">
        <v>2050</v>
      </c>
      <c r="E51" s="24">
        <f t="shared" si="0"/>
        <v>3.5645167703377703</v>
      </c>
      <c r="F51" s="24">
        <f t="shared" si="1"/>
        <v>5.467889570540489</v>
      </c>
      <c r="G51" s="24">
        <f t="shared" si="2"/>
        <v>4.417141561582602</v>
      </c>
      <c r="I51" s="24">
        <f t="shared" si="3"/>
        <v>3.5645167703377703</v>
      </c>
      <c r="J51" s="24">
        <f t="shared" si="4"/>
        <v>5.467889570540489</v>
      </c>
      <c r="K51" s="24">
        <f t="shared" si="5"/>
        <v>4.417141561582602</v>
      </c>
      <c r="M51" s="24">
        <f t="shared" si="6"/>
        <v>3.5645167703377703</v>
      </c>
      <c r="N51" s="24">
        <f t="shared" si="7"/>
        <v>5.467889570540489</v>
      </c>
      <c r="O51" s="24">
        <f t="shared" si="8"/>
        <v>4.417141561582602</v>
      </c>
      <c r="R51" s="24">
        <f t="shared" si="9"/>
        <v>1.5339777935796781</v>
      </c>
      <c r="S51" s="24">
        <f t="shared" si="10"/>
        <v>1.239197862201109</v>
      </c>
      <c r="U51" s="24">
        <f t="shared" si="11"/>
        <v>1.5339777935796781</v>
      </c>
      <c r="V51" s="24">
        <f t="shared" si="12"/>
        <v>1.239197862201109</v>
      </c>
      <c r="X51" s="24">
        <f t="shared" si="13"/>
        <v>1.5339777935796781</v>
      </c>
      <c r="Y51" s="24">
        <f t="shared" si="14"/>
        <v>1.239197862201109</v>
      </c>
    </row>
    <row r="52" spans="2:25" ht="12.75">
      <c r="B52">
        <v>38</v>
      </c>
      <c r="C52" s="19">
        <v>2051</v>
      </c>
      <c r="E52" s="24">
        <f t="shared" si="0"/>
        <v>3.671452273447903</v>
      </c>
      <c r="F52" s="24">
        <f t="shared" si="1"/>
        <v>5.68824552023327</v>
      </c>
      <c r="G52" s="24">
        <f t="shared" si="2"/>
        <v>4.57240408747223</v>
      </c>
      <c r="I52" s="24">
        <f t="shared" si="3"/>
        <v>3.671452273447903</v>
      </c>
      <c r="J52" s="24">
        <f t="shared" si="4"/>
        <v>5.68824552023327</v>
      </c>
      <c r="K52" s="24">
        <f t="shared" si="5"/>
        <v>4.57240408747223</v>
      </c>
      <c r="M52" s="24">
        <f t="shared" si="6"/>
        <v>3.671452273447903</v>
      </c>
      <c r="N52" s="24">
        <f t="shared" si="7"/>
        <v>5.68824552023327</v>
      </c>
      <c r="O52" s="24">
        <f t="shared" si="8"/>
        <v>4.57240408747223</v>
      </c>
      <c r="R52" s="24">
        <f t="shared" si="9"/>
        <v>1.549317571515475</v>
      </c>
      <c r="S52" s="24">
        <f t="shared" si="10"/>
        <v>1.2453938515121143</v>
      </c>
      <c r="U52" s="24">
        <f t="shared" si="11"/>
        <v>1.549317571515475</v>
      </c>
      <c r="V52" s="24">
        <f t="shared" si="12"/>
        <v>1.2453938515121143</v>
      </c>
      <c r="X52" s="24">
        <f t="shared" si="13"/>
        <v>1.549317571515475</v>
      </c>
      <c r="Y52" s="24">
        <f t="shared" si="14"/>
        <v>1.2453938515121143</v>
      </c>
    </row>
    <row r="53" spans="2:25" ht="12.75">
      <c r="B53">
        <v>39</v>
      </c>
      <c r="C53" s="19">
        <v>2052</v>
      </c>
      <c r="E53" s="24">
        <f t="shared" si="0"/>
        <v>3.78159584165134</v>
      </c>
      <c r="F53" s="24">
        <f t="shared" si="1"/>
        <v>5.917481814698671</v>
      </c>
      <c r="G53" s="24">
        <f t="shared" si="2"/>
        <v>4.733124091146879</v>
      </c>
      <c r="I53" s="24">
        <f t="shared" si="3"/>
        <v>3.78159584165134</v>
      </c>
      <c r="J53" s="24">
        <f t="shared" si="4"/>
        <v>5.917481814698671</v>
      </c>
      <c r="K53" s="24">
        <f t="shared" si="5"/>
        <v>4.733124091146879</v>
      </c>
      <c r="M53" s="24">
        <f t="shared" si="6"/>
        <v>3.78159584165134</v>
      </c>
      <c r="N53" s="24">
        <f t="shared" si="7"/>
        <v>5.917481814698671</v>
      </c>
      <c r="O53" s="24">
        <f t="shared" si="8"/>
        <v>4.733124091146879</v>
      </c>
      <c r="R53" s="24">
        <f t="shared" si="9"/>
        <v>1.5648107472306299</v>
      </c>
      <c r="S53" s="24">
        <f t="shared" si="10"/>
        <v>1.2516208207696746</v>
      </c>
      <c r="U53" s="24">
        <f t="shared" si="11"/>
        <v>1.5648107472306299</v>
      </c>
      <c r="V53" s="24">
        <f t="shared" si="12"/>
        <v>1.2516208207696746</v>
      </c>
      <c r="X53" s="24">
        <f t="shared" si="13"/>
        <v>1.5648107472306299</v>
      </c>
      <c r="Y53" s="24">
        <f t="shared" si="14"/>
        <v>1.2516208207696746</v>
      </c>
    </row>
    <row r="54" spans="2:25" ht="12.75">
      <c r="B54">
        <v>40</v>
      </c>
      <c r="C54" s="19">
        <v>2053</v>
      </c>
      <c r="E54" s="24">
        <f t="shared" si="0"/>
        <v>3.8950437169008802</v>
      </c>
      <c r="F54" s="24">
        <f t="shared" si="1"/>
        <v>6.155956331831028</v>
      </c>
      <c r="G54" s="24">
        <f t="shared" si="2"/>
        <v>4.899493402950692</v>
      </c>
      <c r="I54" s="24">
        <f t="shared" si="3"/>
        <v>3.8950437169008802</v>
      </c>
      <c r="J54" s="24">
        <f t="shared" si="4"/>
        <v>6.155956331831028</v>
      </c>
      <c r="K54" s="24">
        <f t="shared" si="5"/>
        <v>4.899493402950692</v>
      </c>
      <c r="M54" s="24">
        <f t="shared" si="6"/>
        <v>3.8950437169008802</v>
      </c>
      <c r="N54" s="24">
        <f t="shared" si="7"/>
        <v>6.155956331831028</v>
      </c>
      <c r="O54" s="24">
        <f t="shared" si="8"/>
        <v>4.899493402950692</v>
      </c>
      <c r="R54" s="24">
        <f t="shared" si="9"/>
        <v>1.5804588547029363</v>
      </c>
      <c r="S54" s="24">
        <f t="shared" si="10"/>
        <v>1.257878924873523</v>
      </c>
      <c r="U54" s="24">
        <f t="shared" si="11"/>
        <v>1.5804588547029363</v>
      </c>
      <c r="V54" s="24">
        <f t="shared" si="12"/>
        <v>1.257878924873523</v>
      </c>
      <c r="X54" s="24">
        <f t="shared" si="13"/>
        <v>1.5804588547029363</v>
      </c>
      <c r="Y54" s="24">
        <f t="shared" si="14"/>
        <v>1.257878924873523</v>
      </c>
    </row>
    <row r="55" spans="1:26" ht="13.5" thickBot="1">
      <c r="A55" s="9"/>
      <c r="B55" s="9"/>
      <c r="C55" s="9"/>
      <c r="D55" s="9"/>
      <c r="E55" s="9"/>
      <c r="F55" s="9"/>
      <c r="G55" s="9"/>
      <c r="H55" s="9"/>
      <c r="I55" s="9"/>
      <c r="J55" s="9"/>
      <c r="K55" s="9"/>
      <c r="L55" s="9"/>
      <c r="M55" s="9"/>
      <c r="N55" s="9"/>
      <c r="O55" s="9"/>
      <c r="P55" s="9"/>
      <c r="Q55" s="9"/>
      <c r="R55" s="9"/>
      <c r="S55" s="9"/>
      <c r="T55" s="9"/>
      <c r="U55" s="9"/>
      <c r="V55" s="9"/>
      <c r="W55" s="9"/>
      <c r="X55" s="9"/>
      <c r="Y55" s="9"/>
      <c r="Z55" s="9"/>
    </row>
  </sheetData>
  <sheetProtection/>
  <printOptions/>
  <pageMargins left="0.75" right="0.75" top="1" bottom="1" header="0.5" footer="0.5"/>
  <pageSetup horizontalDpi="600" verticalDpi="600" orientation="portrait" scale="56" r:id="rId1"/>
</worksheet>
</file>

<file path=xl/worksheets/sheet22.xml><?xml version="1.0" encoding="utf-8"?>
<worksheet xmlns="http://schemas.openxmlformats.org/spreadsheetml/2006/main" xmlns:r="http://schemas.openxmlformats.org/officeDocument/2006/relationships">
  <dimension ref="B3:AM231"/>
  <sheetViews>
    <sheetView zoomScaleSheetLayoutView="100" workbookViewId="0" topLeftCell="A1">
      <selection activeCell="F40" sqref="F40"/>
    </sheetView>
  </sheetViews>
  <sheetFormatPr defaultColWidth="9.140625" defaultRowHeight="12.75"/>
  <cols>
    <col min="1" max="26" width="9.140625" style="37" customWidth="1"/>
    <col min="27" max="27" width="12.140625" style="37" customWidth="1"/>
    <col min="28" max="30" width="9.140625" style="37" customWidth="1"/>
    <col min="31" max="31" width="14.7109375" style="37" customWidth="1"/>
    <col min="32" max="32" width="20.7109375" style="37" customWidth="1"/>
    <col min="33" max="33" width="12.00390625" style="37" customWidth="1"/>
    <col min="34" max="16384" width="9.140625" style="37" customWidth="1"/>
  </cols>
  <sheetData>
    <row r="3" ht="12.75">
      <c r="AK3" s="198"/>
    </row>
    <row r="4" spans="2:38" ht="15.75">
      <c r="B4" s="209" t="s">
        <v>438</v>
      </c>
      <c r="C4" s="210"/>
      <c r="D4" s="210"/>
      <c r="E4" s="210"/>
      <c r="F4" s="210"/>
      <c r="AK4" s="211"/>
      <c r="AL4" s="198"/>
    </row>
    <row r="6" spans="4:38" ht="12.75">
      <c r="D6" s="252" t="s">
        <v>87</v>
      </c>
      <c r="E6" s="37">
        <v>2002</v>
      </c>
      <c r="F6" s="37">
        <v>2003</v>
      </c>
      <c r="G6" s="37">
        <v>2004</v>
      </c>
      <c r="H6" s="37">
        <v>2005</v>
      </c>
      <c r="I6" s="37">
        <v>2006</v>
      </c>
      <c r="J6" s="37">
        <v>2007</v>
      </c>
      <c r="L6" s="38" t="s">
        <v>598</v>
      </c>
      <c r="M6" s="37" t="s">
        <v>633</v>
      </c>
      <c r="AK6" s="211"/>
      <c r="AL6" s="198"/>
    </row>
    <row r="7" spans="37:38" ht="12.75">
      <c r="AK7" s="211"/>
      <c r="AL7" s="198"/>
    </row>
    <row r="8" spans="3:38" ht="12.75">
      <c r="C8" s="212" t="s">
        <v>597</v>
      </c>
      <c r="E8" s="213">
        <v>1</v>
      </c>
      <c r="F8" s="213">
        <v>1.0212850612325106</v>
      </c>
      <c r="G8" s="213">
        <v>1.050620449269655</v>
      </c>
      <c r="H8" s="213">
        <v>1.0845874692643296</v>
      </c>
      <c r="I8" s="213">
        <v>1.118820013565849</v>
      </c>
      <c r="J8" s="213">
        <v>1.1485443470863068</v>
      </c>
      <c r="L8" s="253">
        <f>(J8/E8)^(1/5)-1</f>
        <v>0.028086256989257707</v>
      </c>
      <c r="AK8" s="211"/>
      <c r="AL8" s="198"/>
    </row>
    <row r="9" spans="12:38" ht="12.75">
      <c r="L9" s="239"/>
      <c r="AK9" s="211"/>
      <c r="AL9" s="198"/>
    </row>
    <row r="10" spans="12:38" ht="12.75">
      <c r="L10" s="239"/>
      <c r="AK10" s="211"/>
      <c r="AL10" s="198"/>
    </row>
    <row r="11" spans="3:39" ht="12.75">
      <c r="C11" s="37" t="s">
        <v>141</v>
      </c>
      <c r="D11" s="83" t="s">
        <v>596</v>
      </c>
      <c r="E11" s="214">
        <v>2000</v>
      </c>
      <c r="F11" s="214"/>
      <c r="G11" s="214"/>
      <c r="H11" s="214"/>
      <c r="I11" s="214"/>
      <c r="J11" s="214">
        <f>costKnucO</f>
        <v>4000</v>
      </c>
      <c r="L11" s="253">
        <f>(J11/E11)^(1/5)-1</f>
        <v>0.1486983549970351</v>
      </c>
      <c r="M11" s="256">
        <f>J11/E11-1</f>
        <v>1</v>
      </c>
      <c r="N11" s="198"/>
      <c r="AL11" s="211"/>
      <c r="AM11" s="198"/>
    </row>
    <row r="12" spans="4:39" ht="12.75">
      <c r="D12" s="254">
        <f>$L$8</f>
        <v>0.028086256989257707</v>
      </c>
      <c r="E12" s="214">
        <f>E11</f>
        <v>2000</v>
      </c>
      <c r="F12" s="214">
        <f>$E12*(1+$D12)^(F$6-$E$6)</f>
        <v>2056.1725139785153</v>
      </c>
      <c r="G12" s="214">
        <f>$E12*(1+$D12)^(G$6-$E$6)</f>
        <v>2113.9227036203642</v>
      </c>
      <c r="H12" s="214">
        <f>$E12*(1+$D12)^(H$6-$E$6)</f>
        <v>2173.294879929672</v>
      </c>
      <c r="I12" s="214">
        <f>$E12*(1+$D12)^(I$6-$E$6)</f>
        <v>2234.334598440815</v>
      </c>
      <c r="J12" s="214">
        <f>$E12*(1+$D12)^(J$6-$E$6)</f>
        <v>2297.0886941726135</v>
      </c>
      <c r="K12" s="214"/>
      <c r="L12" s="239"/>
      <c r="AL12" s="211"/>
      <c r="AM12" s="198"/>
    </row>
    <row r="13" spans="4:39" ht="12.75">
      <c r="D13" s="212" t="s">
        <v>597</v>
      </c>
      <c r="E13" s="214">
        <f>E11</f>
        <v>2000</v>
      </c>
      <c r="F13" s="214">
        <f>$E13*(F$8/$E$8)</f>
        <v>2042.5701224650213</v>
      </c>
      <c r="G13" s="214">
        <f>$E13*(G$8/$E$8)</f>
        <v>2101.24089853931</v>
      </c>
      <c r="H13" s="214">
        <f>$E13*(H$8/$E$8)</f>
        <v>2169.1749385286594</v>
      </c>
      <c r="I13" s="214">
        <f>$E13*(I$8/$E$8)</f>
        <v>2237.640027131698</v>
      </c>
      <c r="J13" s="214">
        <f>$E13*(J$8/$E$8)</f>
        <v>2297.0886941726135</v>
      </c>
      <c r="K13" s="214"/>
      <c r="L13" s="253"/>
      <c r="AL13" s="211"/>
      <c r="AM13" s="198"/>
    </row>
    <row r="14" spans="4:39" ht="12.75">
      <c r="D14" s="254">
        <f>L11</f>
        <v>0.1486983549970351</v>
      </c>
      <c r="E14" s="214">
        <f>E11</f>
        <v>2000</v>
      </c>
      <c r="F14" s="214">
        <f>$E14*(1+$D14)^(F$6-$E$6)</f>
        <v>2297.39670999407</v>
      </c>
      <c r="G14" s="214">
        <f>$E14*(1+$D14)^(G$6-$E$6)</f>
        <v>2639.0158215457886</v>
      </c>
      <c r="H14" s="214">
        <f>$E14*(1+$D14)^(H$6-$E$6)</f>
        <v>3031.433133020797</v>
      </c>
      <c r="I14" s="214">
        <f>$E14*(1+$D14)^(I$6-$E$6)</f>
        <v>3482.2022531844973</v>
      </c>
      <c r="J14" s="214">
        <f>$E14*(1+$D14)^(J$6-$E$6)</f>
        <v>4000.000000000001</v>
      </c>
      <c r="K14" s="214"/>
      <c r="L14" s="239"/>
      <c r="AL14" s="198"/>
      <c r="AM14" s="198"/>
    </row>
    <row r="15" spans="4:39" ht="12.75">
      <c r="D15" s="83"/>
      <c r="E15" s="214"/>
      <c r="F15" s="214"/>
      <c r="G15" s="214"/>
      <c r="H15" s="214"/>
      <c r="I15" s="214"/>
      <c r="J15" s="214"/>
      <c r="L15" s="239"/>
      <c r="AL15" s="198"/>
      <c r="AM15" s="198"/>
    </row>
    <row r="16" spans="3:39" ht="12.75">
      <c r="C16" s="37" t="s">
        <v>142</v>
      </c>
      <c r="D16" s="83" t="s">
        <v>596</v>
      </c>
      <c r="E16" s="214">
        <v>1300</v>
      </c>
      <c r="F16" s="214"/>
      <c r="G16" s="214"/>
      <c r="H16" s="214"/>
      <c r="I16" s="214"/>
      <c r="J16" s="214">
        <f>costKcoalO</f>
        <v>2300</v>
      </c>
      <c r="L16" s="253">
        <f>(J16/E16)^(1/5)-1</f>
        <v>0.12087426179583294</v>
      </c>
      <c r="M16" s="256">
        <f>J16/E16-1</f>
        <v>0.7692307692307692</v>
      </c>
      <c r="N16" s="198"/>
      <c r="AL16" s="211"/>
      <c r="AM16" s="198"/>
    </row>
    <row r="17" spans="4:39" ht="12.75">
      <c r="D17" s="254">
        <f>$L$8</f>
        <v>0.028086256989257707</v>
      </c>
      <c r="E17" s="214">
        <f>E16</f>
        <v>1300</v>
      </c>
      <c r="F17" s="214">
        <f>$E17*(1+$D17)^(F$6-$E$6)</f>
        <v>1336.512134086035</v>
      </c>
      <c r="G17" s="214">
        <f>$E17*(1+$D17)^(G$6-$E$6)</f>
        <v>1374.0497573532368</v>
      </c>
      <c r="H17" s="214">
        <f>$E17*(1+$D17)^(H$6-$E$6)</f>
        <v>1412.641671954287</v>
      </c>
      <c r="I17" s="214">
        <f>$E17*(1+$D17)^(I$6-$E$6)</f>
        <v>1452.31748898653</v>
      </c>
      <c r="J17" s="214">
        <f>$E17*(1+$D17)^(J$6-$E$6)</f>
        <v>1493.1076512121988</v>
      </c>
      <c r="K17" s="214"/>
      <c r="L17" s="239"/>
      <c r="AJ17" s="198"/>
      <c r="AL17" s="198"/>
      <c r="AM17" s="198"/>
    </row>
    <row r="18" spans="4:39" ht="12.75">
      <c r="D18" s="212" t="s">
        <v>597</v>
      </c>
      <c r="E18" s="214">
        <f>E16</f>
        <v>1300</v>
      </c>
      <c r="F18" s="214">
        <f>$E18*(F$8/$E$8)</f>
        <v>1327.6705796022638</v>
      </c>
      <c r="G18" s="214">
        <f>$E18*(G$8/$E$8)</f>
        <v>1365.8065840505515</v>
      </c>
      <c r="H18" s="214">
        <f>$E18*(H$8/$E$8)</f>
        <v>1409.9637100436285</v>
      </c>
      <c r="I18" s="214">
        <f>$E18*(I$8/$E$8)</f>
        <v>1454.4660176356037</v>
      </c>
      <c r="J18" s="214">
        <f>$E18*(J$8/$E$8)</f>
        <v>1493.1076512121988</v>
      </c>
      <c r="K18" s="214"/>
      <c r="L18" s="239"/>
      <c r="AJ18" s="198"/>
      <c r="AL18" s="198"/>
      <c r="AM18" s="198"/>
    </row>
    <row r="19" spans="4:39" ht="12.75">
      <c r="D19" s="254">
        <f>D14</f>
        <v>0.1486983549970351</v>
      </c>
      <c r="E19" s="214">
        <f>E16</f>
        <v>1300</v>
      </c>
      <c r="F19" s="214">
        <f>$E19*(1+$D19)^(F$6-$E$6)</f>
        <v>1493.3078614961457</v>
      </c>
      <c r="G19" s="214">
        <f>$E19*(1+$D19)^(G$6-$E$6)</f>
        <v>1715.3602840047627</v>
      </c>
      <c r="H19" s="214">
        <f>$E19*(1+$D19)^(H$6-$E$6)</f>
        <v>1970.431536463518</v>
      </c>
      <c r="I19" s="214">
        <f>$E19*(1+$D19)^(I$6-$E$6)</f>
        <v>2263.4314645699233</v>
      </c>
      <c r="J19" s="214">
        <f>$E19*(1+$D19)^(J$6-$E$6)</f>
        <v>2600.0000000000005</v>
      </c>
      <c r="K19" s="214"/>
      <c r="L19" s="239"/>
      <c r="AJ19" s="216"/>
      <c r="AL19" s="198"/>
      <c r="AM19" s="198"/>
    </row>
    <row r="20" spans="4:39" ht="12.75">
      <c r="D20" s="83"/>
      <c r="E20" s="214"/>
      <c r="F20" s="214"/>
      <c r="G20" s="214"/>
      <c r="H20" s="214"/>
      <c r="I20" s="214"/>
      <c r="J20" s="214"/>
      <c r="L20" s="239"/>
      <c r="AJ20" s="198"/>
      <c r="AL20" s="198"/>
      <c r="AM20" s="198"/>
    </row>
    <row r="21" spans="3:39" ht="12.75">
      <c r="C21" s="37" t="s">
        <v>321</v>
      </c>
      <c r="D21" s="83" t="s">
        <v>596</v>
      </c>
      <c r="E21" s="214">
        <v>500</v>
      </c>
      <c r="F21" s="214"/>
      <c r="G21" s="214"/>
      <c r="H21" s="214"/>
      <c r="I21" s="214"/>
      <c r="J21" s="214">
        <f>costKgasO</f>
        <v>850</v>
      </c>
      <c r="L21" s="253">
        <f>(J21/E21)^(1/5)-1</f>
        <v>0.11196158593857874</v>
      </c>
      <c r="M21" s="256">
        <f>J21/E21-1</f>
        <v>0.7</v>
      </c>
      <c r="N21" s="198"/>
      <c r="AJ21" s="198"/>
      <c r="AL21" s="198"/>
      <c r="AM21" s="198"/>
    </row>
    <row r="22" spans="4:39" ht="12.75">
      <c r="D22" s="254">
        <f>$L$8</f>
        <v>0.028086256989257707</v>
      </c>
      <c r="E22" s="214">
        <f>E21</f>
        <v>500</v>
      </c>
      <c r="F22" s="214">
        <f>$E22*(1+$D22)^(F$6-$E$6)</f>
        <v>514.0431284946288</v>
      </c>
      <c r="G22" s="214">
        <f>$E22*(1+$D22)^(G$6-$E$6)</f>
        <v>528.4806759050911</v>
      </c>
      <c r="H22" s="214">
        <f>$E22*(1+$D22)^(H$6-$E$6)</f>
        <v>543.323719982418</v>
      </c>
      <c r="I22" s="214">
        <f>$E22*(1+$D22)^(I$6-$E$6)</f>
        <v>558.5836496102038</v>
      </c>
      <c r="J22" s="214">
        <f>$E22*(1+$D22)^(J$6-$E$6)</f>
        <v>574.2721735431534</v>
      </c>
      <c r="K22" s="214"/>
      <c r="AJ22" s="216"/>
      <c r="AL22" s="198"/>
      <c r="AM22" s="198"/>
    </row>
    <row r="23" spans="4:39" ht="12.75">
      <c r="D23" s="212" t="s">
        <v>597</v>
      </c>
      <c r="E23" s="214">
        <f>E21</f>
        <v>500</v>
      </c>
      <c r="F23" s="214">
        <f>$E23*(F$8/$E$8)</f>
        <v>510.6425306162553</v>
      </c>
      <c r="G23" s="214">
        <f>$E23*(G$8/$E$8)</f>
        <v>525.3102246348275</v>
      </c>
      <c r="H23" s="214">
        <f>$E23*(H$8/$E$8)</f>
        <v>542.2937346321648</v>
      </c>
      <c r="I23" s="214">
        <f>$E23*(I$8/$E$8)</f>
        <v>559.4100067829245</v>
      </c>
      <c r="J23" s="214">
        <f>$E23*(J$8/$E$8)</f>
        <v>574.2721735431534</v>
      </c>
      <c r="K23" s="214"/>
      <c r="AL23" s="211"/>
      <c r="AM23" s="198"/>
    </row>
    <row r="24" spans="4:39" ht="12.75">
      <c r="D24" s="254">
        <f>D14</f>
        <v>0.1486983549970351</v>
      </c>
      <c r="E24" s="214">
        <f>E21</f>
        <v>500</v>
      </c>
      <c r="F24" s="214">
        <f aca="true" t="shared" si="0" ref="F24:J25">$E24*(1+$D24)^(F$6-$E$6)</f>
        <v>574.3491774985175</v>
      </c>
      <c r="G24" s="214">
        <f t="shared" si="0"/>
        <v>659.7539553864472</v>
      </c>
      <c r="H24" s="214">
        <f t="shared" si="0"/>
        <v>757.8582832551992</v>
      </c>
      <c r="I24" s="214">
        <f t="shared" si="0"/>
        <v>870.5505632961243</v>
      </c>
      <c r="J24" s="214">
        <f t="shared" si="0"/>
        <v>1000.0000000000002</v>
      </c>
      <c r="K24" s="214"/>
      <c r="AL24" s="211"/>
      <c r="AM24" s="198"/>
    </row>
    <row r="25" spans="4:39" ht="12.75">
      <c r="D25" s="254">
        <f>escalcoal</f>
        <v>0.12087426179583294</v>
      </c>
      <c r="E25" s="214">
        <f>E21</f>
        <v>500</v>
      </c>
      <c r="F25" s="214">
        <f t="shared" si="0"/>
        <v>560.4371308979165</v>
      </c>
      <c r="G25" s="214">
        <f t="shared" si="0"/>
        <v>628.1795553781767</v>
      </c>
      <c r="H25" s="214">
        <f t="shared" si="0"/>
        <v>704.1102954097483</v>
      </c>
      <c r="I25" s="214">
        <f t="shared" si="0"/>
        <v>789.2191075902476</v>
      </c>
      <c r="J25" s="214">
        <f t="shared" si="0"/>
        <v>884.6153846153848</v>
      </c>
      <c r="K25" s="214"/>
      <c r="AL25" s="198"/>
      <c r="AM25" s="198"/>
    </row>
    <row r="26" spans="3:39" ht="12.75">
      <c r="C26" s="212"/>
      <c r="D26" s="198"/>
      <c r="E26" s="214"/>
      <c r="F26" s="214"/>
      <c r="G26" s="214"/>
      <c r="H26" s="214"/>
      <c r="I26" s="214"/>
      <c r="J26" s="214"/>
      <c r="K26" s="214"/>
      <c r="AL26" s="198"/>
      <c r="AM26" s="198"/>
    </row>
    <row r="27" spans="5:38" ht="12.75">
      <c r="E27" s="46"/>
      <c r="AK27" s="211"/>
      <c r="AL27" s="198"/>
    </row>
    <row r="28" spans="2:9" ht="15.75">
      <c r="B28" s="209" t="s">
        <v>459</v>
      </c>
      <c r="G28" s="215"/>
      <c r="I28" s="215"/>
    </row>
    <row r="29" spans="7:9" ht="12.75">
      <c r="G29" s="215"/>
      <c r="I29" s="215"/>
    </row>
    <row r="30" ht="12.75">
      <c r="C30" s="198" t="s">
        <v>461</v>
      </c>
    </row>
    <row r="31" ht="12.75">
      <c r="G31" s="38"/>
    </row>
    <row r="32" spans="5:8" ht="12.75">
      <c r="E32" s="38">
        <v>2002</v>
      </c>
      <c r="F32" s="38">
        <v>2007</v>
      </c>
      <c r="G32" s="38"/>
      <c r="H32" s="220" t="s">
        <v>462</v>
      </c>
    </row>
    <row r="33" spans="4:9" ht="12.75">
      <c r="D33" s="198" t="s">
        <v>141</v>
      </c>
      <c r="E33" s="38">
        <v>1.44</v>
      </c>
      <c r="F33" s="38">
        <v>1.29</v>
      </c>
      <c r="H33" s="227">
        <f>(F33-E33)/E33%</f>
        <v>-10.41666666666666</v>
      </c>
      <c r="I33" s="222"/>
    </row>
    <row r="34" spans="4:9" ht="12.75">
      <c r="D34" s="198" t="s">
        <v>142</v>
      </c>
      <c r="E34" s="38">
        <v>0.53</v>
      </c>
      <c r="F34" s="38">
        <v>0.56</v>
      </c>
      <c r="H34" s="227">
        <f>(F34-E34)/E34%</f>
        <v>5.660377358490571</v>
      </c>
      <c r="I34" s="222"/>
    </row>
    <row r="35" spans="4:8" s="223" customFormat="1" ht="12.75">
      <c r="D35" s="198" t="s">
        <v>321</v>
      </c>
      <c r="E35" s="220">
        <v>0.62</v>
      </c>
      <c r="F35" s="38">
        <v>0.49</v>
      </c>
      <c r="H35" s="227">
        <f>(F35-E35)/E35%</f>
        <v>-20.967741935483872</v>
      </c>
    </row>
    <row r="36" spans="8:9" s="224" customFormat="1" ht="12.75" customHeight="1">
      <c r="H36" s="225"/>
      <c r="I36" s="226"/>
    </row>
    <row r="37" spans="3:9" s="224" customFormat="1" ht="12.75" customHeight="1">
      <c r="C37" s="198" t="s">
        <v>600</v>
      </c>
      <c r="H37" s="225"/>
      <c r="I37" s="226"/>
    </row>
    <row r="38" spans="3:9" s="224" customFormat="1" ht="12.75" customHeight="1">
      <c r="C38" s="198"/>
      <c r="H38" s="225"/>
      <c r="I38" s="226"/>
    </row>
    <row r="39" spans="3:9" s="224" customFormat="1" ht="12.75" customHeight="1">
      <c r="C39" s="198"/>
      <c r="E39" s="246" t="s">
        <v>282</v>
      </c>
      <c r="F39" s="246" t="s">
        <v>458</v>
      </c>
      <c r="H39" s="225"/>
      <c r="I39" s="226"/>
    </row>
    <row r="40" spans="4:6" ht="12.75">
      <c r="D40" s="198" t="s">
        <v>141</v>
      </c>
      <c r="E40" s="37">
        <v>63</v>
      </c>
      <c r="F40" s="227">
        <f>E40*(1+$H33%)</f>
        <v>56.4375</v>
      </c>
    </row>
    <row r="41" spans="4:6" ht="12.75">
      <c r="D41" s="198" t="s">
        <v>142</v>
      </c>
      <c r="E41" s="37">
        <v>23</v>
      </c>
      <c r="F41" s="227">
        <f>E41*(1+$H34%)</f>
        <v>24.30188679245283</v>
      </c>
    </row>
    <row r="42" spans="4:6" ht="12.75">
      <c r="D42" s="198" t="s">
        <v>321</v>
      </c>
      <c r="E42" s="37">
        <v>16</v>
      </c>
      <c r="F42" s="227">
        <f>E42*(1+$H35%)</f>
        <v>12.64516129032258</v>
      </c>
    </row>
    <row r="43" ht="12.75">
      <c r="D43" s="198"/>
    </row>
    <row r="44" spans="3:4" ht="12.75">
      <c r="C44" s="198" t="s">
        <v>601</v>
      </c>
      <c r="D44" s="198"/>
    </row>
    <row r="45" spans="3:6" ht="12.75">
      <c r="C45" s="198"/>
      <c r="D45" s="198"/>
      <c r="E45" s="246"/>
      <c r="F45" s="246"/>
    </row>
    <row r="46" spans="3:6" ht="12.75">
      <c r="C46" s="198"/>
      <c r="D46" s="198"/>
      <c r="E46" s="246" t="s">
        <v>282</v>
      </c>
      <c r="F46" s="246" t="s">
        <v>458</v>
      </c>
    </row>
    <row r="47" spans="4:6" ht="12.75">
      <c r="D47" s="198" t="s">
        <v>141</v>
      </c>
      <c r="E47" s="37">
        <v>0.47</v>
      </c>
      <c r="F47" s="221">
        <f>E47*(1+$H33%)</f>
        <v>0.42104166666666665</v>
      </c>
    </row>
    <row r="48" spans="4:6" ht="12.75">
      <c r="D48" s="198" t="s">
        <v>142</v>
      </c>
      <c r="E48" s="37">
        <v>3.38</v>
      </c>
      <c r="F48" s="221">
        <f>E48*(1+$H34%)</f>
        <v>3.571320754716981</v>
      </c>
    </row>
    <row r="49" spans="4:6" ht="12.75">
      <c r="D49" s="198" t="s">
        <v>321</v>
      </c>
      <c r="E49" s="37">
        <v>0.52</v>
      </c>
      <c r="F49" s="221">
        <f>E49*(1+$H35%)</f>
        <v>0.41096774193548385</v>
      </c>
    </row>
    <row r="50" spans="4:6" ht="12.75">
      <c r="D50" s="198"/>
      <c r="F50" s="221"/>
    </row>
    <row r="51" spans="4:6" ht="12.75">
      <c r="D51" s="198"/>
      <c r="F51" s="221"/>
    </row>
    <row r="52" ht="15.75">
      <c r="B52" s="209" t="s">
        <v>8</v>
      </c>
    </row>
    <row r="53" spans="3:11" ht="12.75">
      <c r="C53" s="200"/>
      <c r="D53" s="207"/>
      <c r="E53" s="207"/>
      <c r="F53" s="207"/>
      <c r="G53" s="207"/>
      <c r="H53" s="46"/>
      <c r="I53" s="207"/>
      <c r="J53" s="200"/>
      <c r="K53" s="200"/>
    </row>
    <row r="54" spans="3:11" ht="12.75">
      <c r="C54" s="208" t="s">
        <v>9</v>
      </c>
      <c r="D54" s="207"/>
      <c r="E54" s="207"/>
      <c r="F54" s="46"/>
      <c r="G54" s="46"/>
      <c r="K54" s="200"/>
    </row>
    <row r="55" spans="3:11" ht="12.75">
      <c r="C55" s="207" t="s">
        <v>471</v>
      </c>
      <c r="D55" s="207"/>
      <c r="F55" s="207">
        <v>50</v>
      </c>
      <c r="G55" s="37" t="s">
        <v>10</v>
      </c>
      <c r="K55" s="200"/>
    </row>
    <row r="56" spans="3:11" ht="12.75">
      <c r="C56" s="250" t="s">
        <v>16</v>
      </c>
      <c r="D56" s="207"/>
      <c r="F56" s="200">
        <f>$F$55*24</f>
        <v>1200</v>
      </c>
      <c r="G56" s="250" t="s">
        <v>13</v>
      </c>
      <c r="K56" s="200"/>
    </row>
    <row r="57" spans="3:11" ht="12.75">
      <c r="C57" s="250" t="s">
        <v>17</v>
      </c>
      <c r="D57" s="207"/>
      <c r="F57" s="243">
        <v>3412141.63</v>
      </c>
      <c r="G57" s="250" t="s">
        <v>14</v>
      </c>
      <c r="K57" s="200"/>
    </row>
    <row r="58" spans="3:11" ht="12.75">
      <c r="C58" s="250" t="s">
        <v>18</v>
      </c>
      <c r="D58" s="207"/>
      <c r="F58" s="243">
        <v>10400</v>
      </c>
      <c r="G58" s="250" t="s">
        <v>15</v>
      </c>
      <c r="K58" s="200"/>
    </row>
    <row r="59" spans="3:11" ht="12.75">
      <c r="C59" s="207"/>
      <c r="D59" s="207"/>
      <c r="E59" s="207"/>
      <c r="F59" s="46"/>
      <c r="G59" s="46"/>
      <c r="K59" s="200"/>
    </row>
    <row r="60" spans="3:11" ht="12.75">
      <c r="C60" s="208" t="s">
        <v>474</v>
      </c>
      <c r="D60" s="207"/>
      <c r="E60" s="207"/>
      <c r="F60" s="46"/>
      <c r="G60" s="46"/>
      <c r="K60" s="200"/>
    </row>
    <row r="61" spans="3:11" ht="12.75">
      <c r="C61" s="207" t="s">
        <v>477</v>
      </c>
      <c r="D61" s="207"/>
      <c r="E61" s="46"/>
      <c r="F61" s="46">
        <v>80</v>
      </c>
      <c r="G61" s="234" t="s">
        <v>476</v>
      </c>
      <c r="K61" s="200"/>
    </row>
    <row r="62" spans="3:11" ht="12.75">
      <c r="C62" s="207" t="s">
        <v>479</v>
      </c>
      <c r="D62" s="207"/>
      <c r="E62" s="46"/>
      <c r="F62" s="46">
        <v>6</v>
      </c>
      <c r="G62" s="234" t="s">
        <v>476</v>
      </c>
      <c r="K62" s="200"/>
    </row>
    <row r="63" spans="3:20" ht="12.75">
      <c r="C63" s="207" t="s">
        <v>480</v>
      </c>
      <c r="D63" s="200"/>
      <c r="F63" s="37">
        <v>160</v>
      </c>
      <c r="G63" s="234" t="s">
        <v>481</v>
      </c>
      <c r="K63" s="200"/>
      <c r="O63"/>
      <c r="P63"/>
      <c r="Q63"/>
      <c r="R63"/>
      <c r="S63"/>
      <c r="T63"/>
    </row>
    <row r="64" spans="3:20" ht="12.75">
      <c r="C64" s="207" t="s">
        <v>483</v>
      </c>
      <c r="D64" s="200"/>
      <c r="F64" s="37">
        <v>250</v>
      </c>
      <c r="G64" s="234" t="s">
        <v>476</v>
      </c>
      <c r="K64" s="200"/>
      <c r="O64"/>
      <c r="P64"/>
      <c r="Q64"/>
      <c r="R64"/>
      <c r="S64"/>
      <c r="T64"/>
    </row>
    <row r="65" spans="3:20" ht="12.75">
      <c r="C65" s="200" t="s">
        <v>485</v>
      </c>
      <c r="D65" s="200"/>
      <c r="F65" s="239">
        <v>0.07</v>
      </c>
      <c r="K65" s="200"/>
      <c r="O65"/>
      <c r="P65"/>
      <c r="Q65"/>
      <c r="R65"/>
      <c r="S65"/>
      <c r="T65"/>
    </row>
    <row r="66" spans="3:20" ht="12.75">
      <c r="C66" s="239"/>
      <c r="D66" s="200"/>
      <c r="E66" s="200"/>
      <c r="H66" s="203"/>
      <c r="J66" s="200"/>
      <c r="K66" s="200"/>
      <c r="O66"/>
      <c r="P66"/>
      <c r="Q66"/>
      <c r="R66"/>
      <c r="S66"/>
      <c r="T66"/>
    </row>
    <row r="67" spans="3:20" ht="12.75">
      <c r="C67" s="208" t="s">
        <v>470</v>
      </c>
      <c r="D67" s="200"/>
      <c r="E67" s="200"/>
      <c r="H67" s="203"/>
      <c r="J67" s="200"/>
      <c r="K67" s="200"/>
      <c r="O67"/>
      <c r="P67"/>
      <c r="Q67"/>
      <c r="R67"/>
      <c r="S67"/>
      <c r="T67"/>
    </row>
    <row r="68" spans="3:20" ht="12.75">
      <c r="C68" s="200" t="s">
        <v>472</v>
      </c>
      <c r="E68" s="200"/>
      <c r="F68" s="232">
        <v>0.002</v>
      </c>
      <c r="H68" s="203"/>
      <c r="J68" s="200"/>
      <c r="K68" s="200"/>
      <c r="O68"/>
      <c r="P68"/>
      <c r="Q68"/>
      <c r="R68"/>
      <c r="S68"/>
      <c r="T68"/>
    </row>
    <row r="69" spans="3:20" ht="12.75">
      <c r="C69" s="200" t="s">
        <v>473</v>
      </c>
      <c r="E69" s="200"/>
      <c r="F69" s="233">
        <v>0.002</v>
      </c>
      <c r="H69" s="203"/>
      <c r="J69" s="200"/>
      <c r="K69" s="200"/>
      <c r="O69"/>
      <c r="P69"/>
      <c r="Q69"/>
      <c r="R69"/>
      <c r="S69"/>
      <c r="T69"/>
    </row>
    <row r="70" spans="3:20" ht="12.75">
      <c r="C70" s="200" t="s">
        <v>475</v>
      </c>
      <c r="E70" s="200"/>
      <c r="F70" s="233">
        <v>0.002</v>
      </c>
      <c r="H70" s="203"/>
      <c r="J70" s="200"/>
      <c r="K70" s="200"/>
      <c r="O70"/>
      <c r="P70"/>
      <c r="Q70"/>
      <c r="R70"/>
      <c r="S70"/>
      <c r="T70"/>
    </row>
    <row r="71" spans="3:20" ht="12.75">
      <c r="C71" s="200" t="s">
        <v>478</v>
      </c>
      <c r="E71" s="200"/>
      <c r="F71" s="235">
        <v>1.16</v>
      </c>
      <c r="H71" s="203"/>
      <c r="J71" s="200"/>
      <c r="K71" s="200"/>
      <c r="O71"/>
      <c r="P71"/>
      <c r="Q71"/>
      <c r="R71"/>
      <c r="S71"/>
      <c r="T71"/>
    </row>
    <row r="72" spans="3:20" ht="12.75">
      <c r="C72" s="200" t="s">
        <v>480</v>
      </c>
      <c r="E72" s="200"/>
      <c r="F72" s="236">
        <v>0.045</v>
      </c>
      <c r="H72" s="203"/>
      <c r="J72" s="200"/>
      <c r="K72" s="200"/>
      <c r="O72"/>
      <c r="P72"/>
      <c r="Q72"/>
      <c r="R72"/>
      <c r="S72"/>
      <c r="T72"/>
    </row>
    <row r="73" spans="3:20" ht="12.75">
      <c r="C73" s="200" t="s">
        <v>482</v>
      </c>
      <c r="E73" s="200"/>
      <c r="F73" s="238">
        <v>0.0024</v>
      </c>
      <c r="H73" s="203"/>
      <c r="J73" s="200"/>
      <c r="K73" s="200"/>
      <c r="O73"/>
      <c r="P73"/>
      <c r="Q73"/>
      <c r="R73"/>
      <c r="S73"/>
      <c r="T73"/>
    </row>
    <row r="74" spans="3:20" ht="12.75">
      <c r="C74" s="200" t="s">
        <v>484</v>
      </c>
      <c r="E74" s="200"/>
      <c r="F74" s="203">
        <v>9.08</v>
      </c>
      <c r="H74" s="203"/>
      <c r="J74" s="200"/>
      <c r="K74" s="200"/>
      <c r="O74"/>
      <c r="P74"/>
      <c r="Q74"/>
      <c r="R74"/>
      <c r="S74"/>
      <c r="T74"/>
    </row>
    <row r="75" spans="3:20" ht="12.75">
      <c r="C75" s="200" t="s">
        <v>486</v>
      </c>
      <c r="E75" s="200"/>
      <c r="F75" s="203">
        <v>6.99</v>
      </c>
      <c r="H75" s="203"/>
      <c r="J75" s="200"/>
      <c r="K75" s="200"/>
      <c r="O75"/>
      <c r="P75"/>
      <c r="Q75"/>
      <c r="R75"/>
      <c r="S75"/>
      <c r="T75"/>
    </row>
    <row r="76" spans="3:20" ht="12.75">
      <c r="C76" s="239"/>
      <c r="D76" s="200"/>
      <c r="E76" s="200"/>
      <c r="H76" s="203"/>
      <c r="J76" s="200"/>
      <c r="K76" s="200"/>
      <c r="O76"/>
      <c r="P76"/>
      <c r="Q76"/>
      <c r="R76"/>
      <c r="S76"/>
      <c r="T76"/>
    </row>
    <row r="77" spans="2:20" ht="12.75">
      <c r="B77" s="223"/>
      <c r="C77" s="241" t="s">
        <v>487</v>
      </c>
      <c r="D77" s="240"/>
      <c r="E77" s="240"/>
      <c r="F77" s="242" t="s">
        <v>11</v>
      </c>
      <c r="G77" s="242" t="s">
        <v>12</v>
      </c>
      <c r="H77" s="249" t="s">
        <v>488</v>
      </c>
      <c r="O77"/>
      <c r="P77"/>
      <c r="Q77"/>
      <c r="R77"/>
      <c r="S77"/>
      <c r="T77"/>
    </row>
    <row r="78" spans="3:20" ht="12.75">
      <c r="C78" s="200" t="s">
        <v>477</v>
      </c>
      <c r="E78" s="200"/>
      <c r="F78" s="203">
        <f>F79/(1-fc)</f>
        <v>9.134698648585319</v>
      </c>
      <c r="G78" s="200">
        <v>4.25</v>
      </c>
      <c r="H78" s="203">
        <f>Cu*F78*(1+i)^G78</f>
        <v>974.2384523747637</v>
      </c>
      <c r="O78"/>
      <c r="P78"/>
      <c r="Q78"/>
      <c r="R78"/>
      <c r="S78"/>
      <c r="T78"/>
    </row>
    <row r="79" spans="3:8" ht="12.75">
      <c r="C79" s="200" t="s">
        <v>479</v>
      </c>
      <c r="E79" s="200"/>
      <c r="F79" s="203">
        <f>F74/((1-ff)*(1-fs))</f>
        <v>9.116429251288148</v>
      </c>
      <c r="G79" s="200">
        <v>4.25</v>
      </c>
      <c r="H79" s="203">
        <f>Cc*F79*(1+i)^G79</f>
        <v>72.92174816025106</v>
      </c>
    </row>
    <row r="80" spans="3:8" ht="12.75">
      <c r="C80" s="200" t="s">
        <v>480</v>
      </c>
      <c r="E80" s="200"/>
      <c r="F80" s="203">
        <f>F75/(1-ff)</f>
        <v>7.004008016032064</v>
      </c>
      <c r="G80" s="200">
        <v>3.25</v>
      </c>
      <c r="H80" s="203">
        <f>Cs*F80*(1+i)^G80</f>
        <v>1396.252277713847</v>
      </c>
    </row>
    <row r="81" spans="3:8" ht="12.75">
      <c r="C81" s="202" t="s">
        <v>489</v>
      </c>
      <c r="D81" s="12"/>
      <c r="E81" s="202"/>
      <c r="F81" s="251">
        <v>1</v>
      </c>
      <c r="G81" s="202">
        <v>2.75</v>
      </c>
      <c r="H81" s="251">
        <f>Cf_uox*F81*(1+i)^G81</f>
        <v>301.1240184034194</v>
      </c>
    </row>
    <row r="82" spans="3:8" ht="12.75">
      <c r="C82" s="250" t="s">
        <v>490</v>
      </c>
      <c r="D82" s="200"/>
      <c r="E82" s="200"/>
      <c r="H82" s="203">
        <f>SUM(H78:H81)</f>
        <v>2744.536496652281</v>
      </c>
    </row>
    <row r="83" spans="4:7" ht="12.75">
      <c r="D83" s="200"/>
      <c r="E83" s="200"/>
      <c r="G83" s="200"/>
    </row>
    <row r="84" spans="3:7" ht="12.75">
      <c r="C84" s="201" t="s">
        <v>491</v>
      </c>
      <c r="D84" s="200"/>
      <c r="E84" s="200"/>
      <c r="F84" s="204">
        <f>H82/(F56*F57)*F58*10^3</f>
        <v>6.970983490795614</v>
      </c>
      <c r="G84" s="203" t="s">
        <v>492</v>
      </c>
    </row>
    <row r="85" spans="3:7" ht="12.75">
      <c r="C85" s="200"/>
      <c r="D85" s="200"/>
      <c r="E85" s="200"/>
      <c r="F85" s="205">
        <f>F84/10</f>
        <v>0.6970983490795615</v>
      </c>
      <c r="G85" s="203" t="s">
        <v>493</v>
      </c>
    </row>
    <row r="86" spans="3:7" ht="12.75">
      <c r="C86" s="200"/>
      <c r="D86" s="200"/>
      <c r="E86" s="200"/>
      <c r="F86" s="206">
        <f>H82*10^6/(F56*F57)</f>
        <v>0.6702868741149629</v>
      </c>
      <c r="G86" s="200" t="s">
        <v>272</v>
      </c>
    </row>
    <row r="88" spans="4:6" ht="12.75">
      <c r="D88" s="198"/>
      <c r="F88" s="221"/>
    </row>
    <row r="89" ht="15.75">
      <c r="B89" s="209" t="s">
        <v>599</v>
      </c>
    </row>
    <row r="92" spans="3:12" ht="12.75">
      <c r="C92" s="217"/>
      <c r="G92" s="37" t="s">
        <v>609</v>
      </c>
      <c r="L92" s="217" t="s">
        <v>314</v>
      </c>
    </row>
    <row r="93" spans="5:18" ht="12.75">
      <c r="E93" s="37" t="s">
        <v>282</v>
      </c>
      <c r="G93" s="255" t="s">
        <v>365</v>
      </c>
      <c r="L93" s="255" t="s">
        <v>315</v>
      </c>
      <c r="R93" s="46"/>
    </row>
    <row r="94" spans="3:18" ht="12.75">
      <c r="C94" s="37" t="s">
        <v>318</v>
      </c>
      <c r="E94" s="218">
        <f>E97*(2000*E96/1000000)</f>
        <v>30</v>
      </c>
      <c r="G94" s="218">
        <v>65</v>
      </c>
      <c r="L94" s="218">
        <v>89.8</v>
      </c>
      <c r="P94" s="218"/>
      <c r="Q94" s="218"/>
      <c r="R94" s="218"/>
    </row>
    <row r="95" spans="3:12" ht="12.75">
      <c r="C95" s="37" t="s">
        <v>319</v>
      </c>
      <c r="E95" s="218"/>
      <c r="G95" s="218">
        <f>G94*1.1023</f>
        <v>71.6495</v>
      </c>
      <c r="L95" s="218">
        <f>L94*1.1023</f>
        <v>98.98654</v>
      </c>
    </row>
    <row r="96" spans="3:12" ht="12.75">
      <c r="C96" s="37" t="s">
        <v>317</v>
      </c>
      <c r="E96" s="219">
        <v>12500</v>
      </c>
      <c r="G96" s="219">
        <v>12500</v>
      </c>
      <c r="L96" s="219">
        <v>12500</v>
      </c>
    </row>
    <row r="97" spans="3:18" ht="12.75">
      <c r="C97" s="37" t="s">
        <v>316</v>
      </c>
      <c r="E97" s="218">
        <v>1.2</v>
      </c>
      <c r="G97" s="218">
        <f>G94/(2000*G96)*1000000</f>
        <v>2.6</v>
      </c>
      <c r="L97" s="218">
        <f>L94/(2000*L96)*1000000</f>
        <v>3.592</v>
      </c>
      <c r="P97" s="218"/>
      <c r="Q97" s="218"/>
      <c r="R97" s="218"/>
    </row>
    <row r="98" spans="4:6" ht="12.75">
      <c r="D98" s="198"/>
      <c r="F98" s="221"/>
    </row>
    <row r="100" ht="15.75">
      <c r="B100" s="209" t="s">
        <v>439</v>
      </c>
    </row>
    <row r="102" spans="4:8" ht="12.75">
      <c r="D102" s="37" t="s">
        <v>339</v>
      </c>
      <c r="H102" s="37" t="s">
        <v>340</v>
      </c>
    </row>
    <row r="104" ht="12.75">
      <c r="C104" s="37" t="s">
        <v>282</v>
      </c>
    </row>
    <row r="105" spans="4:9" ht="12.75">
      <c r="D105" s="37">
        <f>CO2coal</f>
        <v>25.8</v>
      </c>
      <c r="E105" s="37" t="s">
        <v>283</v>
      </c>
      <c r="H105" s="37">
        <f>CO2gas</f>
        <v>14.5</v>
      </c>
      <c r="I105" s="37" t="s">
        <v>283</v>
      </c>
    </row>
    <row r="106" spans="4:9" ht="12.75">
      <c r="D106" s="221">
        <f>44.01/12.01</f>
        <v>3.6644462947543714</v>
      </c>
      <c r="E106" s="37" t="s">
        <v>338</v>
      </c>
      <c r="H106" s="221">
        <f>44.01/12.01</f>
        <v>3.6644462947543714</v>
      </c>
      <c r="I106" s="37" t="s">
        <v>338</v>
      </c>
    </row>
    <row r="107" spans="4:9" ht="12.75">
      <c r="D107" s="228">
        <f>D105*D106</f>
        <v>94.54271440466279</v>
      </c>
      <c r="E107" s="37" t="s">
        <v>284</v>
      </c>
      <c r="H107" s="228">
        <f>H105*H106</f>
        <v>53.13447127393839</v>
      </c>
      <c r="I107" s="37" t="s">
        <v>284</v>
      </c>
    </row>
    <row r="108" spans="4:9" ht="12.75">
      <c r="D108" s="215">
        <v>9300</v>
      </c>
      <c r="E108" s="37" t="s">
        <v>271</v>
      </c>
      <c r="H108" s="215">
        <v>7200</v>
      </c>
      <c r="I108" s="37" t="s">
        <v>271</v>
      </c>
    </row>
    <row r="109" spans="4:9" ht="12.75">
      <c r="D109" s="37">
        <f>D108/1000000</f>
        <v>0.0093</v>
      </c>
      <c r="E109" s="37" t="s">
        <v>285</v>
      </c>
      <c r="H109" s="37">
        <f>H108/1000000</f>
        <v>0.0072</v>
      </c>
      <c r="I109" s="37" t="s">
        <v>285</v>
      </c>
    </row>
    <row r="110" spans="4:9" ht="12.75">
      <c r="D110" s="229">
        <f>D107*D109</f>
        <v>0.8792472439633638</v>
      </c>
      <c r="E110" s="37" t="s">
        <v>286</v>
      </c>
      <c r="H110" s="229">
        <f>H107*H109</f>
        <v>0.3825681931723564</v>
      </c>
      <c r="I110" s="37" t="s">
        <v>286</v>
      </c>
    </row>
    <row r="111" spans="4:9" ht="12.75">
      <c r="D111" s="227">
        <f>D110*1000</f>
        <v>879.2472439633639</v>
      </c>
      <c r="E111" s="37" t="s">
        <v>287</v>
      </c>
      <c r="H111" s="227">
        <f>H110*1000</f>
        <v>382.5681931723564</v>
      </c>
      <c r="I111" s="37" t="s">
        <v>287</v>
      </c>
    </row>
    <row r="112" spans="4:8" ht="12.75">
      <c r="D112" s="228"/>
      <c r="H112" s="228"/>
    </row>
    <row r="113" ht="12.75">
      <c r="C113" s="228" t="s">
        <v>337</v>
      </c>
    </row>
    <row r="114" spans="4:9" ht="12.75">
      <c r="D114" s="215">
        <f>Hcoal</f>
        <v>8870</v>
      </c>
      <c r="E114" s="37" t="s">
        <v>271</v>
      </c>
      <c r="H114" s="215">
        <f>Hgas</f>
        <v>6800</v>
      </c>
      <c r="I114" s="37" t="s">
        <v>271</v>
      </c>
    </row>
    <row r="115" spans="4:9" ht="12.75">
      <c r="D115" s="37">
        <f>D114/1000000</f>
        <v>0.00887</v>
      </c>
      <c r="E115" s="37" t="s">
        <v>285</v>
      </c>
      <c r="H115" s="37">
        <f>H114/1000000</f>
        <v>0.0068</v>
      </c>
      <c r="I115" s="37" t="s">
        <v>285</v>
      </c>
    </row>
    <row r="116" spans="4:9" ht="12.75">
      <c r="D116" s="229">
        <f>D107*D115</f>
        <v>0.8385938767693589</v>
      </c>
      <c r="E116" s="37" t="s">
        <v>286</v>
      </c>
      <c r="H116" s="229">
        <f>H107*H115</f>
        <v>0.36131440466278103</v>
      </c>
      <c r="I116" s="37" t="s">
        <v>286</v>
      </c>
    </row>
    <row r="117" spans="4:9" ht="12.75">
      <c r="D117" s="227">
        <f>D116*1000</f>
        <v>838.5938767693589</v>
      </c>
      <c r="E117" s="37" t="s">
        <v>287</v>
      </c>
      <c r="H117" s="227">
        <f>H116*1000</f>
        <v>361.31440466278104</v>
      </c>
      <c r="I117" s="37" t="s">
        <v>287</v>
      </c>
    </row>
    <row r="119" ht="12.75">
      <c r="C119" s="37" t="s">
        <v>610</v>
      </c>
    </row>
    <row r="120" spans="4:5" ht="12.75">
      <c r="D120" s="37">
        <v>830</v>
      </c>
      <c r="E120" s="37" t="s">
        <v>287</v>
      </c>
    </row>
    <row r="122" ht="12.75">
      <c r="C122" s="37" t="s">
        <v>341</v>
      </c>
    </row>
    <row r="123" spans="4:9" ht="12.75">
      <c r="D123" s="229">
        <f>D117/1000</f>
        <v>0.8385938767693589</v>
      </c>
      <c r="E123" s="37" t="s">
        <v>286</v>
      </c>
      <c r="H123" s="229">
        <f>H117/1000</f>
        <v>0.36131440466278103</v>
      </c>
      <c r="I123" s="37" t="s">
        <v>286</v>
      </c>
    </row>
    <row r="124" spans="4:9" ht="12.75">
      <c r="D124" s="37">
        <v>25</v>
      </c>
      <c r="E124" s="37" t="s">
        <v>288</v>
      </c>
      <c r="H124" s="37">
        <v>25</v>
      </c>
      <c r="I124" s="37" t="s">
        <v>288</v>
      </c>
    </row>
    <row r="125" spans="4:9" ht="12.75">
      <c r="D125" s="37">
        <f>D123/1000</f>
        <v>0.0008385938767693589</v>
      </c>
      <c r="E125" s="37" t="s">
        <v>289</v>
      </c>
      <c r="H125" s="37">
        <f>H123/1000</f>
        <v>0.00036131440466278104</v>
      </c>
      <c r="I125" s="37" t="s">
        <v>289</v>
      </c>
    </row>
    <row r="126" spans="4:9" ht="12.75">
      <c r="D126" s="37">
        <f>D124*D125</f>
        <v>0.020964846919233972</v>
      </c>
      <c r="E126" s="37" t="s">
        <v>263</v>
      </c>
      <c r="H126" s="37">
        <f>H124*H125</f>
        <v>0.009032860116569527</v>
      </c>
      <c r="I126" s="37" t="s">
        <v>263</v>
      </c>
    </row>
    <row r="127" spans="4:9" ht="12.75">
      <c r="D127" s="37">
        <f>D126*1000</f>
        <v>20.964846919233974</v>
      </c>
      <c r="E127" s="37" t="s">
        <v>281</v>
      </c>
      <c r="H127" s="221">
        <f>H126*1000</f>
        <v>9.032860116569527</v>
      </c>
      <c r="I127" s="37" t="s">
        <v>281</v>
      </c>
    </row>
    <row r="128" spans="4:9" ht="12.75">
      <c r="D128" s="228">
        <f>D127/10</f>
        <v>2.0964846919233975</v>
      </c>
      <c r="E128" s="37" t="s">
        <v>342</v>
      </c>
      <c r="H128" s="228">
        <f>H127/10</f>
        <v>0.9032860116569527</v>
      </c>
      <c r="I128" s="37" t="s">
        <v>342</v>
      </c>
    </row>
    <row r="130" spans="4:9" ht="12.75">
      <c r="D130" s="228" t="e">
        <f>#REF!+costCO2coal</f>
        <v>#REF!</v>
      </c>
      <c r="E130" s="37" t="s">
        <v>342</v>
      </c>
      <c r="H130" s="228">
        <f>H128+'Table 10D LCOE Gas Revenue'!H10/10</f>
        <v>7.353568579991473</v>
      </c>
      <c r="I130" s="37" t="s">
        <v>342</v>
      </c>
    </row>
    <row r="131" ht="12.75">
      <c r="H131" s="228"/>
    </row>
    <row r="132" spans="3:9" ht="12.75">
      <c r="C132" s="198" t="s">
        <v>440</v>
      </c>
      <c r="E132" s="155" t="s">
        <v>142</v>
      </c>
      <c r="F132" s="155"/>
      <c r="H132" s="155" t="s">
        <v>321</v>
      </c>
      <c r="I132" s="155"/>
    </row>
    <row r="133" spans="6:9" ht="12.75">
      <c r="F133" s="37">
        <f>($E137-$E$134)/$C137</f>
        <v>0.024</v>
      </c>
      <c r="I133" s="37">
        <f>(H137-H134)/C137</f>
        <v>0.010500000000000002</v>
      </c>
    </row>
    <row r="134" spans="3:8" ht="12.75">
      <c r="C134" s="37">
        <v>0</v>
      </c>
      <c r="E134" s="37">
        <v>4.2</v>
      </c>
      <c r="H134" s="37">
        <v>4.1</v>
      </c>
    </row>
    <row r="135" spans="3:9" ht="12.75">
      <c r="C135" s="37">
        <v>50</v>
      </c>
      <c r="E135" s="37">
        <v>5.4</v>
      </c>
      <c r="F135" s="37">
        <f>C135*F$133+$E$134</f>
        <v>5.4</v>
      </c>
      <c r="H135" s="37">
        <v>4.7</v>
      </c>
      <c r="I135" s="228">
        <f>C135*I$133+$H$134</f>
        <v>4.625</v>
      </c>
    </row>
    <row r="136" spans="3:9" ht="12.75">
      <c r="C136" s="37">
        <v>100</v>
      </c>
      <c r="E136" s="37">
        <v>6.6</v>
      </c>
      <c r="F136" s="37">
        <f>C136*F$133+$E$134</f>
        <v>6.6</v>
      </c>
      <c r="H136" s="37">
        <v>5.2</v>
      </c>
      <c r="I136" s="228">
        <f>C136*I$133+$H$134</f>
        <v>5.15</v>
      </c>
    </row>
    <row r="137" spans="3:9" ht="12.75">
      <c r="C137" s="37">
        <v>200</v>
      </c>
      <c r="E137" s="228">
        <v>9</v>
      </c>
      <c r="F137" s="228">
        <f>C137*F$133+$E$134</f>
        <v>9</v>
      </c>
      <c r="H137" s="228">
        <v>6.2</v>
      </c>
      <c r="I137" s="228">
        <f>C137*I$133+$H$134</f>
        <v>6.2</v>
      </c>
    </row>
    <row r="138" spans="3:9" ht="12.75">
      <c r="C138" s="221">
        <f>J147</f>
        <v>91.63</v>
      </c>
      <c r="F138" s="228">
        <f>C138*F$133+$E$134</f>
        <v>6.39912</v>
      </c>
      <c r="I138" s="228">
        <f>C138*I$133+$H$134</f>
        <v>5.0621149999999995</v>
      </c>
    </row>
    <row r="139" spans="2:10" ht="12.75">
      <c r="B139" s="223"/>
      <c r="C139" s="223"/>
      <c r="D139" s="223"/>
      <c r="E139" s="223"/>
      <c r="F139" s="223"/>
      <c r="G139" s="223"/>
      <c r="H139" s="223"/>
      <c r="I139" s="223"/>
      <c r="J139" s="223"/>
    </row>
    <row r="140" spans="2:10" ht="15.75">
      <c r="B140" s="224"/>
      <c r="C140" s="224" t="s">
        <v>460</v>
      </c>
      <c r="D140" s="224"/>
      <c r="E140" s="230"/>
      <c r="F140" s="231">
        <f>D123</f>
        <v>0.8385938767693589</v>
      </c>
      <c r="G140" s="224"/>
      <c r="H140" s="224"/>
      <c r="I140" s="231">
        <f>H123</f>
        <v>0.36131440466278103</v>
      </c>
      <c r="J140" s="224"/>
    </row>
    <row r="141" spans="2:10" ht="12.75">
      <c r="B141" s="224"/>
      <c r="C141" s="224"/>
      <c r="D141" s="224"/>
      <c r="E141" s="230"/>
      <c r="F141" s="231"/>
      <c r="G141" s="224"/>
      <c r="H141" s="224"/>
      <c r="I141" s="231"/>
      <c r="J141" s="224"/>
    </row>
    <row r="143" ht="15.75">
      <c r="C143" s="209" t="s">
        <v>443</v>
      </c>
    </row>
    <row r="145" spans="4:10" ht="12.75">
      <c r="D145" s="220" t="s">
        <v>440</v>
      </c>
      <c r="E145" s="220" t="s">
        <v>442</v>
      </c>
      <c r="F145" s="220" t="s">
        <v>441</v>
      </c>
      <c r="G145" s="38"/>
      <c r="H145" s="220" t="s">
        <v>441</v>
      </c>
      <c r="I145" s="220" t="s">
        <v>442</v>
      </c>
      <c r="J145" s="220" t="s">
        <v>440</v>
      </c>
    </row>
    <row r="146" spans="4:10" ht="12.75">
      <c r="D146" s="38">
        <v>50</v>
      </c>
      <c r="E146" s="38"/>
      <c r="F146" s="38">
        <v>13.64</v>
      </c>
      <c r="G146" s="38"/>
      <c r="H146" s="38">
        <v>12.5</v>
      </c>
      <c r="I146" s="38"/>
      <c r="J146" s="38">
        <v>45.82</v>
      </c>
    </row>
    <row r="147" spans="4:10" ht="12.75">
      <c r="D147" s="38">
        <v>100</v>
      </c>
      <c r="E147" s="38"/>
      <c r="F147" s="38">
        <v>27.28</v>
      </c>
      <c r="G147" s="38"/>
      <c r="H147" s="38">
        <v>25</v>
      </c>
      <c r="I147" s="38"/>
      <c r="J147" s="38">
        <v>91.63</v>
      </c>
    </row>
    <row r="148" spans="4:10" ht="12.75">
      <c r="D148" s="38">
        <v>200</v>
      </c>
      <c r="E148" s="38"/>
      <c r="F148" s="38">
        <v>54.57</v>
      </c>
      <c r="G148" s="38"/>
      <c r="H148" s="38">
        <v>50</v>
      </c>
      <c r="I148" s="38"/>
      <c r="J148" s="38">
        <v>183.26</v>
      </c>
    </row>
    <row r="151" ht="15.75">
      <c r="C151" s="209" t="s">
        <v>616</v>
      </c>
    </row>
    <row r="152" spans="6:18" ht="12.75">
      <c r="F152" s="37" t="s">
        <v>141</v>
      </c>
      <c r="J152" s="37" t="s">
        <v>142</v>
      </c>
      <c r="R152" s="37" t="s">
        <v>321</v>
      </c>
    </row>
    <row r="153" spans="6:22" ht="12.75">
      <c r="F153" s="38" t="s">
        <v>280</v>
      </c>
      <c r="H153" s="38" t="s">
        <v>280</v>
      </c>
      <c r="J153" s="38" t="s">
        <v>280</v>
      </c>
      <c r="K153" s="38" t="s">
        <v>491</v>
      </c>
      <c r="M153" s="38" t="s">
        <v>280</v>
      </c>
      <c r="N153" s="38" t="s">
        <v>491</v>
      </c>
      <c r="R153" s="38" t="s">
        <v>280</v>
      </c>
      <c r="S153" s="38" t="s">
        <v>491</v>
      </c>
      <c r="U153" s="38" t="s">
        <v>280</v>
      </c>
      <c r="V153" s="38" t="s">
        <v>491</v>
      </c>
    </row>
    <row r="154" spans="3:22" ht="12.75">
      <c r="C154" s="37" t="s">
        <v>72</v>
      </c>
      <c r="D154" s="37" t="s">
        <v>73</v>
      </c>
      <c r="F154" s="47" t="s">
        <v>611</v>
      </c>
      <c r="G154" s="37" t="s">
        <v>78</v>
      </c>
      <c r="H154" s="47" t="s">
        <v>611</v>
      </c>
      <c r="J154" s="47" t="s">
        <v>611</v>
      </c>
      <c r="K154" s="47" t="s">
        <v>611</v>
      </c>
      <c r="L154" s="37" t="s">
        <v>78</v>
      </c>
      <c r="M154" s="47" t="s">
        <v>611</v>
      </c>
      <c r="N154" s="47" t="s">
        <v>611</v>
      </c>
      <c r="R154" s="47" t="s">
        <v>611</v>
      </c>
      <c r="S154" s="47" t="s">
        <v>611</v>
      </c>
      <c r="T154" s="37" t="s">
        <v>78</v>
      </c>
      <c r="U154" s="47" t="s">
        <v>611</v>
      </c>
      <c r="V154" s="47" t="s">
        <v>611</v>
      </c>
    </row>
    <row r="156" spans="3:20" ht="12.75">
      <c r="C156" s="37">
        <v>-6</v>
      </c>
      <c r="D156" s="37">
        <v>2007</v>
      </c>
      <c r="G156" s="229">
        <f>'Table 6D LCOE Nuclear Revenue'!F10</f>
        <v>1.7734944906729897</v>
      </c>
      <c r="L156" s="229">
        <f>'Table 8D LCOE Coal Revenue'!F10</f>
        <v>1.571421295026444</v>
      </c>
      <c r="T156" s="229">
        <f>'Table 10D LCOE Gas Revenue'!F10</f>
        <v>1.571421295026444</v>
      </c>
    </row>
    <row r="157" spans="7:20" ht="12.75">
      <c r="G157" s="229"/>
      <c r="L157" s="229"/>
      <c r="T157" s="229"/>
    </row>
    <row r="158" spans="3:20" ht="12.75">
      <c r="C158" s="37">
        <v>-4</v>
      </c>
      <c r="D158" s="37">
        <v>2009</v>
      </c>
      <c r="G158" s="229">
        <f>'Table 6D LCOE Nuclear Revenue'!F12</f>
        <v>1.465165090435202</v>
      </c>
      <c r="L158" s="229">
        <f>'Table 8D LCOE Coal Revenue'!F12</f>
        <v>1.351642242221763</v>
      </c>
      <c r="T158" s="229">
        <f>'Table 10D LCOE Gas Revenue'!F12</f>
        <v>1.351642242221763</v>
      </c>
    </row>
    <row r="159" spans="3:20" ht="12.75">
      <c r="C159" s="37">
        <v>-3</v>
      </c>
      <c r="D159" s="37">
        <v>2010</v>
      </c>
      <c r="G159" s="229">
        <f>'Table 6D LCOE Nuclear Revenue'!F13</f>
        <v>1.3317261320080003</v>
      </c>
      <c r="L159" s="229">
        <f>'Table 8D LCOE Coal Revenue'!F13</f>
        <v>1.253563438772224</v>
      </c>
      <c r="T159" s="229">
        <f>'Table 10D LCOE Gas Revenue'!F13</f>
        <v>1.253563438772224</v>
      </c>
    </row>
    <row r="160" spans="3:20" ht="12.75">
      <c r="C160" s="37">
        <v>-2</v>
      </c>
      <c r="D160" s="37">
        <v>2011</v>
      </c>
      <c r="G160" s="229">
        <f>'Table 6D LCOE Nuclear Revenue'!F14</f>
        <v>1.2104400400000002</v>
      </c>
      <c r="L160" s="229">
        <f>'Table 8D LCOE Coal Revenue'!F14</f>
        <v>1.1626014976</v>
      </c>
      <c r="T160" s="229">
        <f>'Table 10D LCOE Gas Revenue'!F14</f>
        <v>1.1626014976</v>
      </c>
    </row>
    <row r="161" spans="3:20" ht="12.75">
      <c r="C161" s="37">
        <v>-1</v>
      </c>
      <c r="D161" s="37">
        <v>2012</v>
      </c>
      <c r="G161" s="229">
        <f>'Table 6D LCOE Nuclear Revenue'!F15</f>
        <v>1.1002</v>
      </c>
      <c r="L161" s="229">
        <f>'Table 8D LCOE Coal Revenue'!F15</f>
        <v>1.07824</v>
      </c>
      <c r="T161" s="229">
        <f>'Table 10D LCOE Gas Revenue'!F15</f>
        <v>1.07824</v>
      </c>
    </row>
    <row r="162" spans="3:20" ht="12.75">
      <c r="C162" s="37">
        <v>0</v>
      </c>
      <c r="D162" s="37">
        <v>2013</v>
      </c>
      <c r="G162" s="229">
        <f>'Table 6D LCOE Nuclear Revenue'!F16</f>
        <v>1</v>
      </c>
      <c r="L162" s="229">
        <f>'Table 8D LCOE Coal Revenue'!F16</f>
        <v>1</v>
      </c>
      <c r="T162" s="229">
        <f>'Table 10D LCOE Gas Revenue'!F16</f>
        <v>1</v>
      </c>
    </row>
    <row r="163" spans="3:22" ht="12.75">
      <c r="C163" s="37">
        <v>1</v>
      </c>
      <c r="D163" s="37">
        <v>2014</v>
      </c>
      <c r="F163" s="227">
        <f>'Escalation Factors'!E15*CFnuc*Cnuc*8766/1000000</f>
        <v>9.163913158667247</v>
      </c>
      <c r="G163" s="229">
        <f>'Table 6D LCOE Nuclear Revenue'!F17</f>
        <v>0.9089256498818397</v>
      </c>
      <c r="H163" s="227">
        <f>F163*G163</f>
        <v>8.32931572320237</v>
      </c>
      <c r="J163" s="227">
        <f>'Escalation Factors'!I15*CFcoal*Ccoal*8766/1000000</f>
        <v>9.163913158667247</v>
      </c>
      <c r="K163" s="227">
        <f>(CFcoal*Ccoal*8766*Hcoal)/1000000000*'Escalation Factors'!K15</f>
        <v>84.17187801062208</v>
      </c>
      <c r="L163" s="229">
        <f>'Table 8D LCOE Coal Revenue'!F17</f>
        <v>0.9274373052381658</v>
      </c>
      <c r="M163" s="227">
        <f aca="true" t="shared" si="1" ref="M163:M202">J163*$L163</f>
        <v>8.49895492531092</v>
      </c>
      <c r="N163" s="227">
        <f aca="true" t="shared" si="2" ref="N163:N202">K163*$L163</f>
        <v>78.06413971900697</v>
      </c>
      <c r="R163" s="227">
        <f>'Escalation Factors'!M15*CFgas*Cgas*8766/1000000</f>
        <v>9.163913158667247</v>
      </c>
      <c r="S163" s="227">
        <f>(CFgas*Cgas*8766*Hgas)/1000000000*'Escalation Factors'!O15</f>
        <v>64.52860997432133</v>
      </c>
      <c r="T163" s="229">
        <f>'Table 10D LCOE Gas Revenue'!F17</f>
        <v>0.9274373052381658</v>
      </c>
      <c r="U163" s="227">
        <f>R163*$T163</f>
        <v>8.49895492531092</v>
      </c>
      <c r="V163" s="227">
        <f aca="true" t="shared" si="3" ref="V163:V202">S163*$L163</f>
        <v>59.8462401453492</v>
      </c>
    </row>
    <row r="164" spans="3:22" ht="12.75">
      <c r="C164" s="37">
        <v>2</v>
      </c>
      <c r="D164" s="37">
        <v>2015</v>
      </c>
      <c r="F164" s="227">
        <f>'Escalation Factors'!E16*CFnuc*Cnuc*8766/1000000</f>
        <v>9.438830553427264</v>
      </c>
      <c r="G164" s="229">
        <f>'Table 6D LCOE Nuclear Revenue'!F18</f>
        <v>0.8261458370131245</v>
      </c>
      <c r="H164" s="227">
        <f aca="true" t="shared" si="4" ref="H164:H202">F164*G164</f>
        <v>7.79785056798622</v>
      </c>
      <c r="J164" s="227">
        <f>'Escalation Factors'!I16*CFcoal*Ccoal*8766/1000000</f>
        <v>9.438830553427264</v>
      </c>
      <c r="K164" s="227">
        <f>(CFcoal*Ccoal*8766*Hcoal)/1000000000*'Escalation Factors'!K16</f>
        <v>87.13051952269544</v>
      </c>
      <c r="L164" s="229">
        <f>'Table 8D LCOE Coal Revenue'!F18</f>
        <v>0.8601399551474308</v>
      </c>
      <c r="M164" s="227">
        <f t="shared" si="1"/>
        <v>8.118715288869126</v>
      </c>
      <c r="N164" s="227">
        <f t="shared" si="2"/>
        <v>74.9444411542236</v>
      </c>
      <c r="R164" s="227">
        <f>'Escalation Factors'!M16*CFgas*Cgas*8766/1000000</f>
        <v>9.438830553427264</v>
      </c>
      <c r="S164" s="227">
        <f>(CFgas*Cgas*8766*Hgas)/1000000000*'Escalation Factors'!O16</f>
        <v>66.7967906149187</v>
      </c>
      <c r="T164" s="229">
        <f>'Table 10D LCOE Gas Revenue'!F18</f>
        <v>0.8601399551474308</v>
      </c>
      <c r="U164" s="227">
        <f aca="true" t="shared" si="5" ref="U164:U202">R164*$T164</f>
        <v>8.118715288869126</v>
      </c>
      <c r="V164" s="227">
        <f t="shared" si="3"/>
        <v>57.4545884835085</v>
      </c>
    </row>
    <row r="165" spans="3:22" ht="12.75">
      <c r="C165" s="37">
        <v>3</v>
      </c>
      <c r="D165" s="37">
        <v>2016</v>
      </c>
      <c r="F165" s="227">
        <f>'Escalation Factors'!E17*CFnuc*Cnuc*8766/1000000</f>
        <v>9.721995470030084</v>
      </c>
      <c r="G165" s="229">
        <f>'Table 6D LCOE Nuclear Revenue'!F19</f>
        <v>0.7509051418043305</v>
      </c>
      <c r="H165" s="227">
        <f t="shared" si="4"/>
        <v>7.300296387043999</v>
      </c>
      <c r="J165" s="227">
        <f>'Escalation Factors'!I17*CFcoal*Ccoal*8766/1000000</f>
        <v>9.721995470030084</v>
      </c>
      <c r="K165" s="227">
        <f>(CFcoal*Ccoal*8766*Hcoal)/1000000000*'Escalation Factors'!K17</f>
        <v>90.19315728391818</v>
      </c>
      <c r="L165" s="229">
        <f>'Table 8D LCOE Coal Revenue'!F19</f>
        <v>0.7977258821296102</v>
      </c>
      <c r="M165" s="227">
        <f t="shared" si="1"/>
        <v>7.755487412389822</v>
      </c>
      <c r="N165" s="227">
        <f t="shared" si="2"/>
        <v>71.9494159563683</v>
      </c>
      <c r="R165" s="227">
        <f>'Escalation Factors'!M17*CFgas*Cgas*8766/1000000</f>
        <v>9.721995470030084</v>
      </c>
      <c r="S165" s="227">
        <f>(CFgas*Cgas*8766*Hgas)/1000000000*'Escalation Factors'!O17</f>
        <v>69.1446978050331</v>
      </c>
      <c r="T165" s="229">
        <f>'Table 10D LCOE Gas Revenue'!F19</f>
        <v>0.7977258821296102</v>
      </c>
      <c r="U165" s="227">
        <f t="shared" si="5"/>
        <v>7.755487412389822</v>
      </c>
      <c r="V165" s="227">
        <f t="shared" si="3"/>
        <v>55.158515051105354</v>
      </c>
    </row>
    <row r="166" spans="3:22" ht="12.75">
      <c r="C166" s="37">
        <v>4</v>
      </c>
      <c r="D166" s="37">
        <v>2017</v>
      </c>
      <c r="F166" s="227">
        <f>'Escalation Factors'!E18*CFnuc*Cnuc*8766/1000000</f>
        <v>10.013655334130986</v>
      </c>
      <c r="G166" s="229">
        <f>'Table 6D LCOE Nuclear Revenue'!F20</f>
        <v>0.682516944014116</v>
      </c>
      <c r="H166" s="227">
        <f t="shared" si="4"/>
        <v>6.834489437061732</v>
      </c>
      <c r="J166" s="227">
        <f>'Escalation Factors'!I18*CFcoal*Ccoal*8766/1000000</f>
        <v>10.013655334130986</v>
      </c>
      <c r="K166" s="227">
        <f>(CFcoal*Ccoal*8766*Hcoal)/1000000000*'Escalation Factors'!K18</f>
        <v>93.36344676244791</v>
      </c>
      <c r="L166" s="229">
        <f>'Table 8D LCOE Coal Revenue'!F20</f>
        <v>0.7398407424410243</v>
      </c>
      <c r="M166" s="227">
        <f t="shared" si="1"/>
        <v>7.408510196951991</v>
      </c>
      <c r="N166" s="227">
        <f t="shared" si="2"/>
        <v>69.0740817695825</v>
      </c>
      <c r="R166" s="227">
        <f>'Escalation Factors'!M18*CFgas*Cgas*8766/1000000</f>
        <v>10.013655334130986</v>
      </c>
      <c r="S166" s="227">
        <f>(CFgas*Cgas*8766*Hgas)/1000000000*'Escalation Factors'!O18</f>
        <v>71.57513393288002</v>
      </c>
      <c r="T166" s="229">
        <f>'Table 10D LCOE Gas Revenue'!F20</f>
        <v>0.7398407424410243</v>
      </c>
      <c r="U166" s="227">
        <f t="shared" si="5"/>
        <v>7.408510196951991</v>
      </c>
      <c r="V166" s="227">
        <f t="shared" si="3"/>
        <v>52.954200229217705</v>
      </c>
    </row>
    <row r="167" spans="3:22" ht="12.75">
      <c r="C167" s="37">
        <v>5</v>
      </c>
      <c r="D167" s="37">
        <v>2018</v>
      </c>
      <c r="F167" s="227">
        <f>'Escalation Factors'!E19*CFnuc*Cnuc*8766/1000000</f>
        <v>10.314064994154915</v>
      </c>
      <c r="G167" s="229">
        <f>'Table 6D LCOE Nuclear Revenue'!F21</f>
        <v>0.6203571568933975</v>
      </c>
      <c r="H167" s="227">
        <f t="shared" si="4"/>
        <v>6.39840403578766</v>
      </c>
      <c r="J167" s="227">
        <f>'Escalation Factors'!I19*CFcoal*Ccoal*8766/1000000</f>
        <v>10.314064994154915</v>
      </c>
      <c r="K167" s="227">
        <f>(CFcoal*Ccoal*8766*Hcoal)/1000000000*'Escalation Factors'!K19</f>
        <v>96.64517191614797</v>
      </c>
      <c r="L167" s="229">
        <f>'Table 8D LCOE Coal Revenue'!F21</f>
        <v>0.6861559044749075</v>
      </c>
      <c r="M167" s="227">
        <f t="shared" si="1"/>
        <v>7.077056594877347</v>
      </c>
      <c r="N167" s="227">
        <f t="shared" si="2"/>
        <v>66.31365534925744</v>
      </c>
      <c r="R167" s="227">
        <f>'Escalation Factors'!M19*CFgas*Cgas*8766/1000000</f>
        <v>10.314064994154915</v>
      </c>
      <c r="S167" s="227">
        <f>(CFgas*Cgas*8766*Hgas)/1000000000*'Escalation Factors'!O19</f>
        <v>74.09099989062076</v>
      </c>
      <c r="T167" s="229">
        <f>'Table 10D LCOE Gas Revenue'!F21</f>
        <v>0.6861559044749075</v>
      </c>
      <c r="U167" s="227">
        <f t="shared" si="5"/>
        <v>7.077056594877347</v>
      </c>
      <c r="V167" s="227">
        <f t="shared" si="3"/>
        <v>50.837977043399164</v>
      </c>
    </row>
    <row r="168" spans="3:22" ht="12.75">
      <c r="C168" s="37">
        <v>6</v>
      </c>
      <c r="D168" s="37">
        <v>2019</v>
      </c>
      <c r="F168" s="227">
        <f>'Escalation Factors'!E20*CFnuc*Cnuc*8766/1000000</f>
        <v>10.62348694397956</v>
      </c>
      <c r="G168" s="229">
        <f>'Table 6D LCOE Nuclear Revenue'!F22</f>
        <v>0.5638585319881817</v>
      </c>
      <c r="H168" s="227">
        <f t="shared" si="4"/>
        <v>5.990143752827929</v>
      </c>
      <c r="J168" s="227">
        <f>'Escalation Factors'!I20*CFcoal*Ccoal*8766/1000000</f>
        <v>10.62348694397956</v>
      </c>
      <c r="K168" s="227">
        <f>(CFcoal*Ccoal*8766*Hcoal)/1000000000*'Escalation Factors'!K20</f>
        <v>100.04224970900057</v>
      </c>
      <c r="L168" s="229">
        <f>'Table 8D LCOE Coal Revenue'!F22</f>
        <v>0.6363665830194646</v>
      </c>
      <c r="M168" s="227">
        <f t="shared" si="1"/>
        <v>6.760432086292166</v>
      </c>
      <c r="N168" s="227">
        <f t="shared" si="2"/>
        <v>63.66354460489672</v>
      </c>
      <c r="R168" s="227">
        <f>'Escalation Factors'!M20*CFgas*Cgas*8766/1000000</f>
        <v>10.62348694397956</v>
      </c>
      <c r="S168" s="227">
        <f>(CFgas*Cgas*8766*Hgas)/1000000000*'Escalation Factors'!O20</f>
        <v>76.69529853677608</v>
      </c>
      <c r="T168" s="229">
        <f>'Table 10D LCOE Gas Revenue'!F22</f>
        <v>0.6363665830194646</v>
      </c>
      <c r="U168" s="227">
        <f t="shared" si="5"/>
        <v>6.760432086292166</v>
      </c>
      <c r="V168" s="227">
        <f t="shared" si="3"/>
        <v>48.80632506350594</v>
      </c>
    </row>
    <row r="169" spans="3:22" ht="12.75">
      <c r="C169" s="37">
        <v>7</v>
      </c>
      <c r="D169" s="37">
        <v>2020</v>
      </c>
      <c r="F169" s="227">
        <f>'Escalation Factors'!E21*CFnuc*Cnuc*8766/1000000</f>
        <v>10.942191552298949</v>
      </c>
      <c r="G169" s="229">
        <f>'Table 6D LCOE Nuclear Revenue'!F23</f>
        <v>0.512505482628778</v>
      </c>
      <c r="H169" s="227">
        <f t="shared" si="4"/>
        <v>5.607933162527511</v>
      </c>
      <c r="J169" s="227">
        <f>'Escalation Factors'!I21*CFcoal*Ccoal*8766/1000000</f>
        <v>10.942191552298949</v>
      </c>
      <c r="K169" s="227">
        <f>(CFcoal*Ccoal*8766*Hcoal)/1000000000*'Escalation Factors'!K21</f>
        <v>103.55873478627193</v>
      </c>
      <c r="L169" s="229">
        <f>'Table 8D LCOE Coal Revenue'!F23</f>
        <v>0.5901901088991919</v>
      </c>
      <c r="M169" s="227">
        <f t="shared" si="1"/>
        <v>6.457973223847135</v>
      </c>
      <c r="N169" s="227">
        <f t="shared" si="2"/>
        <v>61.11934096097236</v>
      </c>
      <c r="R169" s="227">
        <f>'Escalation Factors'!M21*CFgas*Cgas*8766/1000000</f>
        <v>10.942191552298949</v>
      </c>
      <c r="S169" s="227">
        <f>(CFgas*Cgas*8766*Hgas)/1000000000*'Escalation Factors'!O21</f>
        <v>79.39113828034375</v>
      </c>
      <c r="T169" s="229">
        <f>'Table 10D LCOE Gas Revenue'!F23</f>
        <v>0.5901901088991919</v>
      </c>
      <c r="U169" s="227">
        <f t="shared" si="5"/>
        <v>6.457973223847135</v>
      </c>
      <c r="V169" s="227">
        <f t="shared" si="3"/>
        <v>46.85586454730688</v>
      </c>
    </row>
    <row r="170" spans="3:22" ht="12.75">
      <c r="C170" s="37">
        <v>8</v>
      </c>
      <c r="D170" s="37">
        <v>2021</v>
      </c>
      <c r="F170" s="227">
        <f>'Escalation Factors'!E22*CFnuc*Cnuc*8766/1000000</f>
        <v>11.270457298867917</v>
      </c>
      <c r="G170" s="229">
        <f>'Table 6D LCOE Nuclear Revenue'!F24</f>
        <v>0.46582937886636794</v>
      </c>
      <c r="H170" s="227">
        <f t="shared" si="4"/>
        <v>5.250110123071565</v>
      </c>
      <c r="J170" s="227">
        <f>'Escalation Factors'!I22*CFcoal*Ccoal*8766/1000000</f>
        <v>11.270457298867917</v>
      </c>
      <c r="K170" s="227">
        <f>(CFcoal*Ccoal*8766*Hcoal)/1000000000*'Escalation Factors'!K22</f>
        <v>107.1988243140094</v>
      </c>
      <c r="L170" s="229">
        <f>'Table 8D LCOE Coal Revenue'!F24</f>
        <v>0.547364324175686</v>
      </c>
      <c r="M170" s="227">
        <f t="shared" si="1"/>
        <v>6.1690462425457655</v>
      </c>
      <c r="N170" s="227">
        <f t="shared" si="2"/>
        <v>58.67681202306586</v>
      </c>
      <c r="R170" s="227">
        <f>'Escalation Factors'!M22*CFgas*Cgas*8766/1000000</f>
        <v>11.270457298867917</v>
      </c>
      <c r="S170" s="227">
        <f>(CFgas*Cgas*8766*Hgas)/1000000000*'Escalation Factors'!O22</f>
        <v>82.18173679089784</v>
      </c>
      <c r="T170" s="229">
        <f>'Table 10D LCOE Gas Revenue'!F24</f>
        <v>0.547364324175686</v>
      </c>
      <c r="U170" s="227">
        <f t="shared" si="5"/>
        <v>6.1690462425457655</v>
      </c>
      <c r="V170" s="227">
        <f t="shared" si="3"/>
        <v>44.983350818133914</v>
      </c>
    </row>
    <row r="171" spans="3:22" ht="12.75">
      <c r="C171" s="37">
        <v>9</v>
      </c>
      <c r="D171" s="37">
        <v>2022</v>
      </c>
      <c r="F171" s="227">
        <f>'Escalation Factors'!E23*CFnuc*Cnuc*8766/1000000</f>
        <v>11.608571017833956</v>
      </c>
      <c r="G171" s="229">
        <f>'Table 6D LCOE Nuclear Revenue'!F25</f>
        <v>0.42340427092016714</v>
      </c>
      <c r="H171" s="227">
        <f t="shared" si="4"/>
        <v>4.915118548230969</v>
      </c>
      <c r="J171" s="227">
        <f>'Escalation Factors'!I23*CFcoal*Ccoal*8766/1000000</f>
        <v>11.608571017833956</v>
      </c>
      <c r="K171" s="227">
        <f>(CFcoal*Ccoal*8766*Hcoal)/1000000000*'Escalation Factors'!K23</f>
        <v>110.96686298864684</v>
      </c>
      <c r="L171" s="229">
        <f>'Table 8D LCOE Coal Revenue'!F25</f>
        <v>0.5076460937970081</v>
      </c>
      <c r="M171" s="227">
        <f t="shared" si="1"/>
        <v>5.8930457317685665</v>
      </c>
      <c r="N171" s="227">
        <f t="shared" si="2"/>
        <v>56.33189453709436</v>
      </c>
      <c r="R171" s="227">
        <f>'Escalation Factors'!M23*CFgas*Cgas*8766/1000000</f>
        <v>11.608571017833956</v>
      </c>
      <c r="S171" s="227">
        <f>(CFgas*Cgas*8766*Hgas)/1000000000*'Escalation Factors'!O23</f>
        <v>85.07042483909791</v>
      </c>
      <c r="T171" s="229">
        <f>'Table 10D LCOE Gas Revenue'!F25</f>
        <v>0.5076460937970081</v>
      </c>
      <c r="U171" s="227">
        <f t="shared" si="5"/>
        <v>5.8930457317685665</v>
      </c>
      <c r="V171" s="227">
        <f t="shared" si="3"/>
        <v>43.18566886722002</v>
      </c>
    </row>
    <row r="172" spans="3:22" ht="12.75">
      <c r="C172" s="37">
        <v>10</v>
      </c>
      <c r="D172" s="37">
        <v>2023</v>
      </c>
      <c r="F172" s="227">
        <f>'Escalation Factors'!E24*CFnuc*Cnuc*8766/1000000</f>
        <v>11.956828148368972</v>
      </c>
      <c r="G172" s="229">
        <f>'Table 6D LCOE Nuclear Revenue'!F26</f>
        <v>0.3848430021088594</v>
      </c>
      <c r="H172" s="227">
        <f t="shared" si="4"/>
        <v>4.6015016403180296</v>
      </c>
      <c r="J172" s="227">
        <f>'Escalation Factors'!I24*CFcoal*Ccoal*8766/1000000</f>
        <v>11.956828148368972</v>
      </c>
      <c r="K172" s="227">
        <f>(CFcoal*Ccoal*8766*Hcoal)/1000000000*'Escalation Factors'!K24</f>
        <v>114.86734822269776</v>
      </c>
      <c r="L172" s="229">
        <f>'Table 8D LCOE Coal Revenue'!F26</f>
        <v>0.4708099252457784</v>
      </c>
      <c r="M172" s="227">
        <f t="shared" si="1"/>
        <v>5.6293933667102145</v>
      </c>
      <c r="N172" s="227">
        <f t="shared" si="2"/>
        <v>54.08068762990913</v>
      </c>
      <c r="R172" s="227">
        <f>'Escalation Factors'!M24*CFgas*Cgas*8766/1000000</f>
        <v>11.956828148368972</v>
      </c>
      <c r="S172" s="227">
        <f>(CFgas*Cgas*8766*Hgas)/1000000000*'Escalation Factors'!O24</f>
        <v>88.06065027219219</v>
      </c>
      <c r="T172" s="229">
        <f>'Table 10D LCOE Gas Revenue'!F26</f>
        <v>0.4708099252457784</v>
      </c>
      <c r="U172" s="227">
        <f t="shared" si="5"/>
        <v>5.6293933667102145</v>
      </c>
      <c r="V172" s="227">
        <f t="shared" si="3"/>
        <v>41.45982817174544</v>
      </c>
    </row>
    <row r="173" spans="3:22" ht="12.75">
      <c r="C173" s="37">
        <v>11</v>
      </c>
      <c r="D173" s="37">
        <v>2024</v>
      </c>
      <c r="F173" s="227">
        <f>'Escalation Factors'!E25*CFnuc*Cnuc*8766/1000000</f>
        <v>12.31553299282004</v>
      </c>
      <c r="G173" s="229">
        <f>'Table 6D LCOE Nuclear Revenue'!F27</f>
        <v>0.34979367579427323</v>
      </c>
      <c r="H173" s="227">
        <f t="shared" si="4"/>
        <v>4.307895554924169</v>
      </c>
      <c r="J173" s="227">
        <f>'Escalation Factors'!I25*CFcoal*Ccoal*8766/1000000</f>
        <v>12.31553299282004</v>
      </c>
      <c r="K173" s="227">
        <f>(CFcoal*Ccoal*8766*Hcoal)/1000000000*'Escalation Factors'!K25</f>
        <v>118.90493551272559</v>
      </c>
      <c r="L173" s="229">
        <f>'Table 8D LCOE Coal Revenue'!F27</f>
        <v>0.436646688349327</v>
      </c>
      <c r="M173" s="227">
        <f t="shared" si="1"/>
        <v>5.377536696571747</v>
      </c>
      <c r="N173" s="227">
        <f t="shared" si="2"/>
        <v>51.91944632002192</v>
      </c>
      <c r="R173" s="227">
        <f>'Escalation Factors'!M25*CFgas*Cgas*8766/1000000</f>
        <v>12.31553299282004</v>
      </c>
      <c r="S173" s="227">
        <f>(CFgas*Cgas*8766*Hgas)/1000000000*'Escalation Factors'!O25</f>
        <v>91.15598212925975</v>
      </c>
      <c r="T173" s="229">
        <f>'Table 10D LCOE Gas Revenue'!F27</f>
        <v>0.436646688349327</v>
      </c>
      <c r="U173" s="227">
        <f t="shared" si="5"/>
        <v>5.377536696571747</v>
      </c>
      <c r="V173" s="227">
        <f t="shared" si="3"/>
        <v>39.80295771997171</v>
      </c>
    </row>
    <row r="174" spans="3:22" ht="12.75">
      <c r="C174" s="37">
        <v>12</v>
      </c>
      <c r="D174" s="37">
        <v>2025</v>
      </c>
      <c r="F174" s="227">
        <f>'Escalation Factors'!E26*CFnuc*Cnuc*8766/1000000</f>
        <v>12.684998982604643</v>
      </c>
      <c r="G174" s="229">
        <f>'Table 6D LCOE Nuclear Revenue'!F28</f>
        <v>0.3179364440958673</v>
      </c>
      <c r="H174" s="227">
        <f t="shared" si="4"/>
        <v>4.033023469889015</v>
      </c>
      <c r="J174" s="227">
        <f>'Escalation Factors'!I26*CFcoal*Ccoal*8766/1000000</f>
        <v>12.684998982604643</v>
      </c>
      <c r="K174" s="227">
        <f>(CFcoal*Ccoal*8766*Hcoal)/1000000000*'Escalation Factors'!K26</f>
        <v>123.0844439959979</v>
      </c>
      <c r="L174" s="229">
        <f>'Table 8D LCOE Coal Revenue'!F28</f>
        <v>0.40496242798386906</v>
      </c>
      <c r="M174" s="227">
        <f t="shared" si="1"/>
        <v>5.136947986968485</v>
      </c>
      <c r="N174" s="227">
        <f t="shared" si="2"/>
        <v>49.844575287663865</v>
      </c>
      <c r="R174" s="227">
        <f>'Escalation Factors'!M26*CFgas*Cgas*8766/1000000</f>
        <v>12.684998982604643</v>
      </c>
      <c r="S174" s="227">
        <f>(CFgas*Cgas*8766*Hgas)/1000000000*'Escalation Factors'!O26</f>
        <v>94.36011490110323</v>
      </c>
      <c r="T174" s="229">
        <f>'Table 10D LCOE Gas Revenue'!F28</f>
        <v>0.40496242798386906</v>
      </c>
      <c r="U174" s="227">
        <f t="shared" si="5"/>
        <v>5.136947986968485</v>
      </c>
      <c r="V174" s="227">
        <f t="shared" si="3"/>
        <v>38.212301235187624</v>
      </c>
    </row>
    <row r="175" spans="3:22" ht="12.75">
      <c r="C175" s="37">
        <v>13</v>
      </c>
      <c r="D175" s="37">
        <v>2026</v>
      </c>
      <c r="F175" s="227">
        <f>'Escalation Factors'!E27*CFnuc*Cnuc*8766/1000000</f>
        <v>13.06554895208278</v>
      </c>
      <c r="G175" s="229">
        <f>'Table 6D LCOE Nuclear Revenue'!F29</f>
        <v>0.2889805890709573</v>
      </c>
      <c r="H175" s="227">
        <f t="shared" si="4"/>
        <v>3.7756900327083107</v>
      </c>
      <c r="J175" s="227">
        <f>'Escalation Factors'!I27*CFcoal*Ccoal*8766/1000000</f>
        <v>13.06554895208278</v>
      </c>
      <c r="K175" s="227">
        <f>(CFcoal*Ccoal*8766*Hcoal)/1000000000*'Escalation Factors'!K27</f>
        <v>127.41086220245724</v>
      </c>
      <c r="L175" s="229">
        <f>'Table 8D LCOE Coal Revenue'!F29</f>
        <v>0.3755772629320644</v>
      </c>
      <c r="M175" s="227">
        <f t="shared" si="1"/>
        <v>4.907123114128153</v>
      </c>
      <c r="N175" s="227">
        <f t="shared" si="2"/>
        <v>47.852622893813304</v>
      </c>
      <c r="R175" s="227">
        <f>'Escalation Factors'!M27*CFgas*Cgas*8766/1000000</f>
        <v>13.06554895208278</v>
      </c>
      <c r="S175" s="227">
        <f>(CFgas*Cgas*8766*Hgas)/1000000000*'Escalation Factors'!O27</f>
        <v>97.67687293987701</v>
      </c>
      <c r="T175" s="229">
        <f>'Table 10D LCOE Gas Revenue'!F29</f>
        <v>0.3755772629320644</v>
      </c>
      <c r="U175" s="227">
        <f t="shared" si="5"/>
        <v>4.907123114128153</v>
      </c>
      <c r="V175" s="227">
        <f t="shared" si="3"/>
        <v>36.685212590522035</v>
      </c>
    </row>
    <row r="176" spans="3:22" ht="12.75">
      <c r="C176" s="37">
        <v>14</v>
      </c>
      <c r="D176" s="37">
        <v>2027</v>
      </c>
      <c r="F176" s="227">
        <f>'Escalation Factors'!E28*CFnuc*Cnuc*8766/1000000</f>
        <v>13.457515420645265</v>
      </c>
      <c r="G176" s="229">
        <f>'Table 6D LCOE Nuclear Revenue'!F30</f>
        <v>0.2626618697245567</v>
      </c>
      <c r="H176" s="227">
        <f t="shared" si="4"/>
        <v>3.5347761622337392</v>
      </c>
      <c r="J176" s="227">
        <f>'Escalation Factors'!I28*CFcoal*Ccoal*8766/1000000</f>
        <v>13.457515420645265</v>
      </c>
      <c r="K176" s="227">
        <f>(CFcoal*Ccoal*8766*Hcoal)/1000000000*'Escalation Factors'!K28</f>
        <v>131.8893540088736</v>
      </c>
      <c r="L176" s="229">
        <f>'Table 8D LCOE Coal Revenue'!F30</f>
        <v>0.3483243646424399</v>
      </c>
      <c r="M176" s="227">
        <f t="shared" si="1"/>
        <v>4.687580508562099</v>
      </c>
      <c r="N176" s="227">
        <f t="shared" si="2"/>
        <v>45.94027543824273</v>
      </c>
      <c r="R176" s="227">
        <f>'Escalation Factors'!M28*CFgas*Cgas*8766/1000000</f>
        <v>13.457515420645265</v>
      </c>
      <c r="S176" s="227">
        <f>(CFgas*Cgas*8766*Hgas)/1000000000*'Escalation Factors'!O28</f>
        <v>101.11021502371369</v>
      </c>
      <c r="T176" s="229">
        <f>'Table 10D LCOE Gas Revenue'!F30</f>
        <v>0.3483243646424399</v>
      </c>
      <c r="U176" s="227">
        <f t="shared" si="5"/>
        <v>4.687580508562099</v>
      </c>
      <c r="V176" s="227">
        <f t="shared" si="3"/>
        <v>35.21915140699555</v>
      </c>
    </row>
    <row r="177" spans="3:22" ht="12.75">
      <c r="C177" s="37">
        <v>15</v>
      </c>
      <c r="D177" s="37">
        <v>2028</v>
      </c>
      <c r="F177" s="227">
        <f>'Escalation Factors'!E29*CFnuc*Cnuc*8766/1000000</f>
        <v>13.861240883264621</v>
      </c>
      <c r="G177" s="229">
        <f>'Table 6D LCOE Nuclear Revenue'!F31</f>
        <v>0.23874011063857184</v>
      </c>
      <c r="H177" s="227">
        <f t="shared" si="4"/>
        <v>3.309234182058491</v>
      </c>
      <c r="J177" s="227">
        <f>'Escalation Factors'!I29*CFcoal*Ccoal*8766/1000000</f>
        <v>13.861240883264621</v>
      </c>
      <c r="K177" s="227">
        <f>(CFcoal*Ccoal*8766*Hcoal)/1000000000*'Escalation Factors'!K29</f>
        <v>136.5252648022855</v>
      </c>
      <c r="L177" s="229">
        <f>'Table 8D LCOE Coal Revenue'!F31</f>
        <v>0.3230490100927807</v>
      </c>
      <c r="M177" s="227">
        <f t="shared" si="1"/>
        <v>4.477860145996217</v>
      </c>
      <c r="N177" s="227">
        <f t="shared" si="2"/>
        <v>44.104351647033084</v>
      </c>
      <c r="R177" s="227">
        <f>'Escalation Factors'!M29*CFgas*Cgas*8766/1000000</f>
        <v>13.861240883264621</v>
      </c>
      <c r="S177" s="227">
        <f>(CFgas*Cgas*8766*Hgas)/1000000000*'Escalation Factors'!O29</f>
        <v>104.66423908179722</v>
      </c>
      <c r="T177" s="229">
        <f>'Table 10D LCOE Gas Revenue'!F31</f>
        <v>0.3230490100927807</v>
      </c>
      <c r="U177" s="227">
        <f t="shared" si="5"/>
        <v>4.477860145996217</v>
      </c>
      <c r="V177" s="227">
        <f t="shared" si="3"/>
        <v>33.81167882748872</v>
      </c>
    </row>
    <row r="178" spans="3:22" ht="12.75">
      <c r="C178" s="37">
        <v>16</v>
      </c>
      <c r="D178" s="37">
        <v>2029</v>
      </c>
      <c r="F178" s="227">
        <f>'Escalation Factors'!E30*CFnuc*Cnuc*8766/1000000</f>
        <v>14.277078109762561</v>
      </c>
      <c r="G178" s="229">
        <f>'Table 6D LCOE Nuclear Revenue'!F32</f>
        <v>0.21699701021502615</v>
      </c>
      <c r="H178" s="227">
        <f t="shared" si="4"/>
        <v>3.0980832644248726</v>
      </c>
      <c r="J178" s="227">
        <f>'Escalation Factors'!I30*CFcoal*Ccoal*8766/1000000</f>
        <v>14.277078109762561</v>
      </c>
      <c r="K178" s="227">
        <f>(CFcoal*Ccoal*8766*Hcoal)/1000000000*'Escalation Factors'!K30</f>
        <v>141.32412786008584</v>
      </c>
      <c r="L178" s="229">
        <f>'Table 8D LCOE Coal Revenue'!F32</f>
        <v>0.29960770338030557</v>
      </c>
      <c r="M178" s="227">
        <f t="shared" si="1"/>
        <v>4.277522583447195</v>
      </c>
      <c r="N178" s="227">
        <f t="shared" si="2"/>
        <v>42.341797380384975</v>
      </c>
      <c r="R178" s="227">
        <f>'Escalation Factors'!M30*CFgas*Cgas*8766/1000000</f>
        <v>14.277078109762561</v>
      </c>
      <c r="S178" s="227">
        <f>(CFgas*Cgas*8766*Hgas)/1000000000*'Escalation Factors'!O30</f>
        <v>108.3431870855224</v>
      </c>
      <c r="T178" s="229">
        <f>'Table 10D LCOE Gas Revenue'!F32</f>
        <v>0.29960770338030557</v>
      </c>
      <c r="U178" s="227">
        <f t="shared" si="5"/>
        <v>4.277522583447195</v>
      </c>
      <c r="V178" s="227">
        <f t="shared" si="3"/>
        <v>32.460453459596145</v>
      </c>
    </row>
    <row r="179" spans="3:22" ht="12.75">
      <c r="C179" s="37">
        <v>17</v>
      </c>
      <c r="D179" s="37">
        <v>2030</v>
      </c>
      <c r="F179" s="227">
        <f>'Escalation Factors'!E31*CFnuc*Cnuc*8766/1000000</f>
        <v>14.70539045305544</v>
      </c>
      <c r="G179" s="229">
        <f>'Table 6D LCOE Nuclear Revenue'!F33</f>
        <v>0.19723414853210883</v>
      </c>
      <c r="H179" s="227">
        <f t="shared" si="4"/>
        <v>2.9004051648405915</v>
      </c>
      <c r="J179" s="227">
        <f>'Escalation Factors'!I31*CFcoal*Ccoal*8766/1000000</f>
        <v>14.70539045305544</v>
      </c>
      <c r="K179" s="227">
        <f>(CFcoal*Ccoal*8766*Hcoal)/1000000000*'Escalation Factors'!K31</f>
        <v>146.29167095436787</v>
      </c>
      <c r="L179" s="229">
        <f>'Table 8D LCOE Coal Revenue'!F33</f>
        <v>0.2778673610516263</v>
      </c>
      <c r="M179" s="227">
        <f t="shared" si="1"/>
        <v>4.0861480384242945</v>
      </c>
      <c r="N179" s="227">
        <f t="shared" si="2"/>
        <v>40.64968055192305</v>
      </c>
      <c r="R179" s="227">
        <f>'Escalation Factors'!M31*CFgas*Cgas*8766/1000000</f>
        <v>14.70539045305544</v>
      </c>
      <c r="S179" s="227">
        <f>(CFgas*Cgas*8766*Hgas)/1000000000*'Escalation Factors'!O31</f>
        <v>112.15145011157853</v>
      </c>
      <c r="T179" s="229">
        <f>'Table 10D LCOE Gas Revenue'!F33</f>
        <v>0.2778673610516263</v>
      </c>
      <c r="U179" s="227">
        <f t="shared" si="5"/>
        <v>4.0861480384242945</v>
      </c>
      <c r="V179" s="227">
        <f t="shared" si="3"/>
        <v>31.163227480617444</v>
      </c>
    </row>
    <row r="180" spans="3:22" ht="12.75">
      <c r="C180" s="37">
        <v>18</v>
      </c>
      <c r="D180" s="37">
        <v>2031</v>
      </c>
      <c r="F180" s="227">
        <f>'Escalation Factors'!E32*CFnuc*Cnuc*8766/1000000</f>
        <v>15.146552166647101</v>
      </c>
      <c r="G180" s="229">
        <f>'Table 6D LCOE Nuclear Revenue'!F34</f>
        <v>0.1792711766334383</v>
      </c>
      <c r="H180" s="227">
        <f t="shared" si="4"/>
        <v>2.71534022885458</v>
      </c>
      <c r="J180" s="227">
        <f>'Escalation Factors'!I32*CFcoal*Ccoal*8766/1000000</f>
        <v>15.146552166647101</v>
      </c>
      <c r="K180" s="227">
        <f>(CFcoal*Ccoal*8766*Hcoal)/1000000000*'Escalation Factors'!K32</f>
        <v>151.4338231884139</v>
      </c>
      <c r="L180" s="229">
        <f>'Table 8D LCOE Coal Revenue'!F34</f>
        <v>0.2577045565473608</v>
      </c>
      <c r="M180" s="227">
        <f t="shared" si="1"/>
        <v>3.903335509327258</v>
      </c>
      <c r="N180" s="227">
        <f t="shared" si="2"/>
        <v>39.025186251041646</v>
      </c>
      <c r="R180" s="227">
        <f>'Escalation Factors'!M32*CFgas*Cgas*8766/1000000</f>
        <v>15.146552166647101</v>
      </c>
      <c r="S180" s="227">
        <f>(CFgas*Cgas*8766*Hgas)/1000000000*'Escalation Factors'!O32</f>
        <v>116.0935735830005</v>
      </c>
      <c r="T180" s="229">
        <f>'Table 10D LCOE Gas Revenue'!F34</f>
        <v>0.2577045565473608</v>
      </c>
      <c r="U180" s="227">
        <f t="shared" si="5"/>
        <v>3.903335509327258</v>
      </c>
      <c r="V180" s="227">
        <f t="shared" si="3"/>
        <v>29.917842898205546</v>
      </c>
    </row>
    <row r="181" spans="3:22" ht="12.75">
      <c r="C181" s="37">
        <v>19</v>
      </c>
      <c r="D181" s="37">
        <v>2032</v>
      </c>
      <c r="F181" s="227">
        <f>'Escalation Factors'!E33*CFnuc*Cnuc*8766/1000000</f>
        <v>15.600948731646513</v>
      </c>
      <c r="G181" s="229">
        <f>'Table 6D LCOE Nuclear Revenue'!F35</f>
        <v>0.16294417072662998</v>
      </c>
      <c r="H181" s="227">
        <f t="shared" si="4"/>
        <v>2.5420836536268108</v>
      </c>
      <c r="J181" s="227">
        <f>'Escalation Factors'!I33*CFcoal*Ccoal*8766/1000000</f>
        <v>15.600948731646513</v>
      </c>
      <c r="K181" s="227">
        <f>(CFcoal*Ccoal*8766*Hcoal)/1000000000*'Escalation Factors'!K33</f>
        <v>156.75672207348666</v>
      </c>
      <c r="L181" s="229">
        <f>'Table 8D LCOE Coal Revenue'!F35</f>
        <v>0.23900481947188085</v>
      </c>
      <c r="M181" s="227">
        <f t="shared" si="1"/>
        <v>3.7287019351972432</v>
      </c>
      <c r="N181" s="227">
        <f t="shared" si="2"/>
        <v>37.46561206017748</v>
      </c>
      <c r="R181" s="227">
        <f>'Escalation Factors'!M33*CFgas*Cgas*8766/1000000</f>
        <v>15.600948731646513</v>
      </c>
      <c r="S181" s="227">
        <f>(CFgas*Cgas*8766*Hgas)/1000000000*'Escalation Factors'!O33</f>
        <v>120.17426269444299</v>
      </c>
      <c r="T181" s="229">
        <f>'Table 10D LCOE Gas Revenue'!F35</f>
        <v>0.23900481947188085</v>
      </c>
      <c r="U181" s="227">
        <f t="shared" si="5"/>
        <v>3.7287019351972432</v>
      </c>
      <c r="V181" s="227">
        <f t="shared" si="3"/>
        <v>28.722227960451733</v>
      </c>
    </row>
    <row r="182" spans="3:22" ht="12.75">
      <c r="C182" s="37">
        <v>20</v>
      </c>
      <c r="D182" s="37">
        <v>2033</v>
      </c>
      <c r="F182" s="227">
        <f>'Escalation Factors'!E34*CFnuc*Cnuc*8766/1000000</f>
        <v>16.06897719359591</v>
      </c>
      <c r="G182" s="229">
        <f>'Table 6D LCOE Nuclear Revenue'!F36</f>
        <v>0.14810413627215957</v>
      </c>
      <c r="H182" s="227">
        <f t="shared" si="4"/>
        <v>2.379881988034553</v>
      </c>
      <c r="J182" s="227">
        <f>'Escalation Factors'!I34*CFcoal*Ccoal*8766/1000000</f>
        <v>16.06897719359591</v>
      </c>
      <c r="K182" s="227">
        <f>(CFcoal*Ccoal*8766*Hcoal)/1000000000*'Escalation Factors'!K34</f>
        <v>162.2667208543697</v>
      </c>
      <c r="L182" s="229">
        <f>'Table 8D LCOE Coal Revenue'!F36</f>
        <v>0.22166198570993542</v>
      </c>
      <c r="M182" s="227">
        <f t="shared" si="1"/>
        <v>3.5618813930601347</v>
      </c>
      <c r="N182" s="227">
        <f t="shared" si="2"/>
        <v>35.96836355921938</v>
      </c>
      <c r="R182" s="227">
        <f>'Escalation Factors'!M34*CFgas*Cgas*8766/1000000</f>
        <v>16.06897719359591</v>
      </c>
      <c r="S182" s="227">
        <f>(CFgas*Cgas*8766*Hgas)/1000000000*'Escalation Factors'!O34</f>
        <v>124.39838802815264</v>
      </c>
      <c r="T182" s="229">
        <f>'Table 10D LCOE Gas Revenue'!F36</f>
        <v>0.22166198570993542</v>
      </c>
      <c r="U182" s="227">
        <f t="shared" si="5"/>
        <v>3.5618813930601347</v>
      </c>
      <c r="V182" s="227">
        <f t="shared" si="3"/>
        <v>27.574393709435373</v>
      </c>
    </row>
    <row r="183" spans="3:22" ht="12.75">
      <c r="C183" s="37">
        <v>21</v>
      </c>
      <c r="D183" s="37">
        <v>2034</v>
      </c>
      <c r="F183" s="227">
        <f>'Escalation Factors'!E35*CFnuc*Cnuc*8766/1000000</f>
        <v>16.551046509403783</v>
      </c>
      <c r="G183" s="229">
        <f>'Table 6D LCOE Nuclear Revenue'!F37</f>
        <v>0.13461564831136116</v>
      </c>
      <c r="H183" s="227">
        <f t="shared" si="4"/>
        <v>2.2280298560948815</v>
      </c>
      <c r="J183" s="227">
        <f>'Escalation Factors'!I35*CFcoal*Ccoal*8766/1000000</f>
        <v>16.551046509403783</v>
      </c>
      <c r="K183" s="227">
        <f>(CFcoal*Ccoal*8766*Hcoal)/1000000000*'Escalation Factors'!K35</f>
        <v>167.97039609240085</v>
      </c>
      <c r="L183" s="229">
        <f>'Table 8D LCOE Coal Revenue'!F37</f>
        <v>0.2055775947005634</v>
      </c>
      <c r="M183" s="227">
        <f t="shared" si="1"/>
        <v>3.402524331180385</v>
      </c>
      <c r="N183" s="227">
        <f t="shared" si="2"/>
        <v>34.53095000957668</v>
      </c>
      <c r="R183" s="227">
        <f>'Escalation Factors'!M35*CFgas*Cgas*8766/1000000</f>
        <v>16.551046509403783</v>
      </c>
      <c r="S183" s="227">
        <f>(CFgas*Cgas*8766*Hgas)/1000000000*'Escalation Factors'!O35</f>
        <v>128.77099136734225</v>
      </c>
      <c r="T183" s="229">
        <f>'Table 10D LCOE Gas Revenue'!F37</f>
        <v>0.2055775947005634</v>
      </c>
      <c r="U183" s="227">
        <f t="shared" si="5"/>
        <v>3.402524331180385</v>
      </c>
      <c r="V183" s="227">
        <f t="shared" si="3"/>
        <v>26.472430672505233</v>
      </c>
    </row>
    <row r="184" spans="3:22" ht="12.75">
      <c r="C184" s="37">
        <v>22</v>
      </c>
      <c r="D184" s="37">
        <v>2035</v>
      </c>
      <c r="F184" s="227">
        <f>'Escalation Factors'!E36*CFnuc*Cnuc*8766/1000000</f>
        <v>17.047577904685895</v>
      </c>
      <c r="G184" s="229">
        <f>'Table 6D LCOE Nuclear Revenue'!F38</f>
        <v>0.1223556156256691</v>
      </c>
      <c r="H184" s="227">
        <f t="shared" si="4"/>
        <v>2.0858668894543966</v>
      </c>
      <c r="J184" s="227">
        <f>'Escalation Factors'!I36*CFcoal*Ccoal*8766/1000000</f>
        <v>17.047577904685895</v>
      </c>
      <c r="K184" s="227">
        <f>(CFcoal*Ccoal*8766*Hcoal)/1000000000*'Escalation Factors'!K36</f>
        <v>173.8745555150487</v>
      </c>
      <c r="L184" s="229">
        <f>'Table 8D LCOE Coal Revenue'!F38</f>
        <v>0.19066033044643432</v>
      </c>
      <c r="M184" s="227">
        <f t="shared" si="1"/>
        <v>3.250296836618745</v>
      </c>
      <c r="N184" s="227">
        <f t="shared" si="2"/>
        <v>33.150980210726075</v>
      </c>
      <c r="R184" s="227">
        <f>'Escalation Factors'!M36*CFgas*Cgas*8766/1000000</f>
        <v>17.047577904685895</v>
      </c>
      <c r="S184" s="227">
        <f>(CFgas*Cgas*8766*Hgas)/1000000000*'Escalation Factors'!O36</f>
        <v>133.29729171390431</v>
      </c>
      <c r="T184" s="229">
        <f>'Table 10D LCOE Gas Revenue'!F38</f>
        <v>0.19066033044643432</v>
      </c>
      <c r="U184" s="227">
        <f t="shared" si="5"/>
        <v>3.250296836618745</v>
      </c>
      <c r="V184" s="227">
        <f t="shared" si="3"/>
        <v>25.41450568578775</v>
      </c>
    </row>
    <row r="185" spans="3:22" ht="12.75">
      <c r="C185" s="37">
        <v>23</v>
      </c>
      <c r="D185" s="37">
        <v>2036</v>
      </c>
      <c r="F185" s="227">
        <f>'Escalation Factors'!E37*CFnuc*Cnuc*8766/1000000</f>
        <v>17.559005241826476</v>
      </c>
      <c r="G185" s="229">
        <f>'Table 6D LCOE Nuclear Revenue'!F39</f>
        <v>0.11121215744925388</v>
      </c>
      <c r="H185" s="227">
        <f t="shared" si="4"/>
        <v>1.9527748556062803</v>
      </c>
      <c r="J185" s="227">
        <f>'Escalation Factors'!I37*CFcoal*Ccoal*8766/1000000</f>
        <v>17.559005241826476</v>
      </c>
      <c r="K185" s="227">
        <f>(CFcoal*Ccoal*8766*Hcoal)/1000000000*'Escalation Factors'!K37</f>
        <v>179.98624614140266</v>
      </c>
      <c r="L185" s="229">
        <f>'Table 8D LCOE Coal Revenue'!F39</f>
        <v>0.17682550308505932</v>
      </c>
      <c r="M185" s="227">
        <f t="shared" si="1"/>
        <v>3.1048799355591603</v>
      </c>
      <c r="N185" s="227">
        <f t="shared" si="2"/>
        <v>31.82615852234484</v>
      </c>
      <c r="R185" s="227">
        <f>'Escalation Factors'!M37*CFgas*Cgas*8766/1000000</f>
        <v>17.559005241826476</v>
      </c>
      <c r="S185" s="227">
        <f>(CFgas*Cgas*8766*Hgas)/1000000000*'Escalation Factors'!O37</f>
        <v>137.98269151764802</v>
      </c>
      <c r="T185" s="229">
        <f>'Table 10D LCOE Gas Revenue'!F39</f>
        <v>0.17682550308505932</v>
      </c>
      <c r="U185" s="227">
        <f t="shared" si="5"/>
        <v>3.1048799355591603</v>
      </c>
      <c r="V185" s="227">
        <f t="shared" si="3"/>
        <v>24.398858844638657</v>
      </c>
    </row>
    <row r="186" spans="3:22" ht="12.75">
      <c r="C186" s="37">
        <v>24</v>
      </c>
      <c r="D186" s="37">
        <v>2037</v>
      </c>
      <c r="F186" s="227">
        <f>'Escalation Factors'!E38*CFnuc*Cnuc*8766/1000000</f>
        <v>18.08577539908127</v>
      </c>
      <c r="G186" s="229">
        <f>'Table 6D LCOE Nuclear Revenue'!F40</f>
        <v>0.10108358248432453</v>
      </c>
      <c r="H186" s="227">
        <f t="shared" si="4"/>
        <v>1.828174969345999</v>
      </c>
      <c r="J186" s="227">
        <f>'Escalation Factors'!I38*CFcoal*Ccoal*8766/1000000</f>
        <v>18.08577539908127</v>
      </c>
      <c r="K186" s="227">
        <f>(CFcoal*Ccoal*8766*Hcoal)/1000000000*'Escalation Factors'!K38</f>
        <v>186.312762693273</v>
      </c>
      <c r="L186" s="229">
        <f>'Table 8D LCOE Coal Revenue'!F40</f>
        <v>0.16399456807859036</v>
      </c>
      <c r="M186" s="227">
        <f t="shared" si="1"/>
        <v>2.9659689249387284</v>
      </c>
      <c r="N186" s="227">
        <f t="shared" si="2"/>
        <v>30.554281045412207</v>
      </c>
      <c r="R186" s="227">
        <f>'Escalation Factors'!M38*CFgas*Cgas*8766/1000000</f>
        <v>18.08577539908127</v>
      </c>
      <c r="S186" s="227">
        <f>(CFgas*Cgas*8766*Hgas)/1000000000*'Escalation Factors'!O38</f>
        <v>142.83278312449337</v>
      </c>
      <c r="T186" s="229">
        <f>'Table 10D LCOE Gas Revenue'!F40</f>
        <v>0.16399456807859036</v>
      </c>
      <c r="U186" s="227">
        <f t="shared" si="5"/>
        <v>2.9659689249387284</v>
      </c>
      <c r="V186" s="227">
        <f t="shared" si="3"/>
        <v>23.42380057596426</v>
      </c>
    </row>
    <row r="187" spans="3:22" ht="12.75">
      <c r="C187" s="37">
        <v>25</v>
      </c>
      <c r="D187" s="37">
        <v>2038</v>
      </c>
      <c r="F187" s="227">
        <f>'Escalation Factors'!E39*CFnuc*Cnuc*8766/1000000</f>
        <v>18.62834866105371</v>
      </c>
      <c r="G187" s="229">
        <f>'Table 6D LCOE Nuclear Revenue'!F41</f>
        <v>0.09187746090194922</v>
      </c>
      <c r="H187" s="227">
        <f t="shared" si="4"/>
        <v>1.7115253757738402</v>
      </c>
      <c r="J187" s="227">
        <f>'Escalation Factors'!I39*CFcoal*Ccoal*8766/1000000</f>
        <v>18.62834866105371</v>
      </c>
      <c r="K187" s="227">
        <f>(CFcoal*Ccoal*8766*Hcoal)/1000000000*'Escalation Factors'!K39</f>
        <v>192.86165630194157</v>
      </c>
      <c r="L187" s="229">
        <f>'Table 8D LCOE Coal Revenue'!F41</f>
        <v>0.15209468029250478</v>
      </c>
      <c r="M187" s="227">
        <f t="shared" si="1"/>
        <v>2.8332727339802735</v>
      </c>
      <c r="N187" s="227">
        <f t="shared" si="2"/>
        <v>29.333231955926742</v>
      </c>
      <c r="R187" s="227">
        <f>'Escalation Factors'!M39*CFgas*Cgas*8766/1000000</f>
        <v>18.62834866105371</v>
      </c>
      <c r="S187" s="227">
        <f>(CFgas*Cgas*8766*Hgas)/1000000000*'Escalation Factors'!O39</f>
        <v>147.85335545131935</v>
      </c>
      <c r="T187" s="229">
        <f>'Table 10D LCOE Gas Revenue'!F41</f>
        <v>0.15209468029250478</v>
      </c>
      <c r="U187" s="227">
        <f t="shared" si="5"/>
        <v>2.8332727339802735</v>
      </c>
      <c r="V187" s="227">
        <f t="shared" si="3"/>
        <v>22.487708827542484</v>
      </c>
    </row>
    <row r="188" spans="3:22" ht="12.75">
      <c r="C188" s="37">
        <v>26</v>
      </c>
      <c r="D188" s="37">
        <v>2039</v>
      </c>
      <c r="F188" s="227">
        <f>'Escalation Factors'!E40*CFnuc*Cnuc*8766/1000000</f>
        <v>19.187199120885317</v>
      </c>
      <c r="G188" s="229">
        <f>'Table 6D LCOE Nuclear Revenue'!F42</f>
        <v>0.0835097808597975</v>
      </c>
      <c r="H188" s="227">
        <f t="shared" si="4"/>
        <v>1.6023187938984322</v>
      </c>
      <c r="J188" s="227">
        <f>'Escalation Factors'!I40*CFcoal*Ccoal*8766/1000000</f>
        <v>19.187199120885317</v>
      </c>
      <c r="K188" s="227">
        <f>(CFcoal*Ccoal*8766*Hcoal)/1000000000*'Escalation Factors'!K40</f>
        <v>199.64074352095477</v>
      </c>
      <c r="L188" s="229">
        <f>'Table 8D LCOE Coal Revenue'!F42</f>
        <v>0.141058280431541</v>
      </c>
      <c r="M188" s="227">
        <f t="shared" si="1"/>
        <v>2.706513314289658</v>
      </c>
      <c r="N188" s="227">
        <f t="shared" si="2"/>
        <v>28.16097998514019</v>
      </c>
      <c r="R188" s="227">
        <f>'Escalation Factors'!M40*CFgas*Cgas*8766/1000000</f>
        <v>19.187199120885317</v>
      </c>
      <c r="S188" s="227">
        <f>(CFgas*Cgas*8766*Hgas)/1000000000*'Escalation Factors'!O40</f>
        <v>153.0504008954332</v>
      </c>
      <c r="T188" s="229">
        <f>'Table 10D LCOE Gas Revenue'!F42</f>
        <v>0.141058280431541</v>
      </c>
      <c r="U188" s="227">
        <f t="shared" si="5"/>
        <v>2.706513314289658</v>
      </c>
      <c r="V188" s="227">
        <f t="shared" si="3"/>
        <v>21.589026369667792</v>
      </c>
    </row>
    <row r="189" spans="3:22" ht="12.75">
      <c r="C189" s="37">
        <v>27</v>
      </c>
      <c r="D189" s="37">
        <v>2040</v>
      </c>
      <c r="F189" s="227">
        <f>'Escalation Factors'!E41*CFnuc*Cnuc*8766/1000000</f>
        <v>19.76281509451188</v>
      </c>
      <c r="G189" s="229">
        <f>'Table 6D LCOE Nuclear Revenue'!F43</f>
        <v>0.07590418183948146</v>
      </c>
      <c r="H189" s="227">
        <f t="shared" si="4"/>
        <v>1.5000803105938787</v>
      </c>
      <c r="J189" s="227">
        <f>'Escalation Factors'!I41*CFcoal*Ccoal*8766/1000000</f>
        <v>19.76281509451188</v>
      </c>
      <c r="K189" s="227">
        <f>(CFcoal*Ccoal*8766*Hcoal)/1000000000*'Escalation Factors'!K41</f>
        <v>206.65811565571636</v>
      </c>
      <c r="L189" s="229">
        <f>'Table 8D LCOE Coal Revenue'!F43</f>
        <v>0.1308227114849579</v>
      </c>
      <c r="M189" s="227">
        <f t="shared" si="1"/>
        <v>2.5854250572398985</v>
      </c>
      <c r="N189" s="227">
        <f t="shared" si="2"/>
        <v>27.03557504045284</v>
      </c>
      <c r="R189" s="227">
        <f>'Escalation Factors'!M41*CFgas*Cgas*8766/1000000</f>
        <v>19.76281509451188</v>
      </c>
      <c r="S189" s="227">
        <f>(CFgas*Cgas*8766*Hgas)/1000000000*'Escalation Factors'!O41</f>
        <v>158.4301224869077</v>
      </c>
      <c r="T189" s="229">
        <f>'Table 10D LCOE Gas Revenue'!F43</f>
        <v>0.1308227114849579</v>
      </c>
      <c r="U189" s="227">
        <f t="shared" si="5"/>
        <v>2.5854250572398985</v>
      </c>
      <c r="V189" s="227">
        <f t="shared" si="3"/>
        <v>20.726258204631264</v>
      </c>
    </row>
    <row r="190" spans="3:22" ht="12.75">
      <c r="C190" s="37">
        <v>28</v>
      </c>
      <c r="D190" s="37">
        <v>2041</v>
      </c>
      <c r="F190" s="227">
        <f>'Escalation Factors'!E42*CFnuc*Cnuc*8766/1000000</f>
        <v>20.355699547347232</v>
      </c>
      <c r="G190" s="229">
        <f>'Table 6D LCOE Nuclear Revenue'!F44</f>
        <v>0.0689912578072</v>
      </c>
      <c r="H190" s="227">
        <f t="shared" si="4"/>
        <v>1.4043653153169373</v>
      </c>
      <c r="J190" s="227">
        <f>'Escalation Factors'!I42*CFcoal*Ccoal*8766/1000000</f>
        <v>20.355699547347232</v>
      </c>
      <c r="K190" s="227">
        <f>(CFcoal*Ccoal*8766*Hcoal)/1000000000*'Escalation Factors'!K42</f>
        <v>213.92214842101478</v>
      </c>
      <c r="L190" s="229">
        <f>'Table 8D LCOE Coal Revenue'!F44</f>
        <v>0.12132986300355939</v>
      </c>
      <c r="M190" s="227">
        <f t="shared" si="1"/>
        <v>2.4697542374212555</v>
      </c>
      <c r="N190" s="227">
        <f t="shared" si="2"/>
        <v>25.95514496134882</v>
      </c>
      <c r="R190" s="227">
        <f>'Escalation Factors'!M42*CFgas*Cgas*8766/1000000</f>
        <v>20.355699547347232</v>
      </c>
      <c r="S190" s="227">
        <f>(CFgas*Cgas*8766*Hgas)/1000000000*'Escalation Factors'!O42</f>
        <v>163.99894129232248</v>
      </c>
      <c r="T190" s="229">
        <f>'Table 10D LCOE Gas Revenue'!F44</f>
        <v>0.12132986300355939</v>
      </c>
      <c r="U190" s="227">
        <f t="shared" si="5"/>
        <v>2.4697542374212555</v>
      </c>
      <c r="V190" s="227">
        <f t="shared" si="3"/>
        <v>19.897969079726266</v>
      </c>
    </row>
    <row r="191" spans="3:22" ht="12.75">
      <c r="C191" s="37">
        <v>29</v>
      </c>
      <c r="D191" s="37">
        <v>2042</v>
      </c>
      <c r="F191" s="227">
        <f>'Escalation Factors'!E43*CFnuc*Cnuc*8766/1000000</f>
        <v>20.966370533767652</v>
      </c>
      <c r="G191" s="229">
        <f>'Table 6D LCOE Nuclear Revenue'!F45</f>
        <v>0.0627079238385748</v>
      </c>
      <c r="H191" s="227">
        <f t="shared" si="4"/>
        <v>1.3147575666028408</v>
      </c>
      <c r="J191" s="227">
        <f>'Escalation Factors'!I43*CFcoal*Ccoal*8766/1000000</f>
        <v>20.966370533767652</v>
      </c>
      <c r="K191" s="227">
        <f>(CFcoal*Ccoal*8766*Hcoal)/1000000000*'Escalation Factors'!K43</f>
        <v>221.44151193801346</v>
      </c>
      <c r="L191" s="229">
        <f>'Table 8D LCOE Coal Revenue'!F45</f>
        <v>0.11252584118893696</v>
      </c>
      <c r="M191" s="227">
        <f t="shared" si="1"/>
        <v>2.3592584809911465</v>
      </c>
      <c r="N191" s="227">
        <f t="shared" si="2"/>
        <v>24.917892404974992</v>
      </c>
      <c r="R191" s="227">
        <f>'Escalation Factors'!M43*CFgas*Cgas*8766/1000000</f>
        <v>20.966370533767652</v>
      </c>
      <c r="S191" s="227">
        <f>(CFgas*Cgas*8766*Hgas)/1000000000*'Escalation Factors'!O43</f>
        <v>169.76350407874762</v>
      </c>
      <c r="T191" s="229">
        <f>'Table 10D LCOE Gas Revenue'!F45</f>
        <v>0.11252584118893696</v>
      </c>
      <c r="U191" s="227">
        <f t="shared" si="5"/>
        <v>2.3592584809911465</v>
      </c>
      <c r="V191" s="227">
        <f t="shared" si="3"/>
        <v>19.102781099642606</v>
      </c>
    </row>
    <row r="192" spans="3:22" ht="12.75">
      <c r="C192" s="37">
        <v>30</v>
      </c>
      <c r="D192" s="37">
        <v>2043</v>
      </c>
      <c r="F192" s="227">
        <f>'Escalation Factors'!E44*CFnuc*Cnuc*8766/1000000</f>
        <v>21.595361649780678</v>
      </c>
      <c r="G192" s="229">
        <f>'Table 6D LCOE Nuclear Revenue'!F46</f>
        <v>0.0569968404277175</v>
      </c>
      <c r="H192" s="227">
        <f t="shared" si="4"/>
        <v>1.2308673819313993</v>
      </c>
      <c r="J192" s="227">
        <f>'Escalation Factors'!I44*CFcoal*Ccoal*8766/1000000</f>
        <v>21.595361649780678</v>
      </c>
      <c r="K192" s="227">
        <f>(CFcoal*Ccoal*8766*Hcoal)/1000000000*'Escalation Factors'!K44</f>
        <v>229.22518108263463</v>
      </c>
      <c r="L192" s="229">
        <f>'Table 8D LCOE Coal Revenue'!F46</f>
        <v>0.10436066292192551</v>
      </c>
      <c r="M192" s="227">
        <f t="shared" si="1"/>
        <v>2.2537062578098386</v>
      </c>
      <c r="N192" s="227">
        <f t="shared" si="2"/>
        <v>23.92209185618217</v>
      </c>
      <c r="R192" s="227">
        <f>'Escalation Factors'!M44*CFgas*Cgas*8766/1000000</f>
        <v>21.595361649780678</v>
      </c>
      <c r="S192" s="227">
        <f>(CFgas*Cgas*8766*Hgas)/1000000000*'Escalation Factors'!O44</f>
        <v>175.7306912471156</v>
      </c>
      <c r="T192" s="229">
        <f>'Table 10D LCOE Gas Revenue'!F46</f>
        <v>0.10436066292192551</v>
      </c>
      <c r="U192" s="227">
        <f t="shared" si="5"/>
        <v>2.2537062578098386</v>
      </c>
      <c r="V192" s="227">
        <f t="shared" si="3"/>
        <v>18.339371434277197</v>
      </c>
    </row>
    <row r="193" spans="3:22" ht="12.75">
      <c r="C193" s="37">
        <v>31</v>
      </c>
      <c r="D193" s="37">
        <v>2044</v>
      </c>
      <c r="F193" s="227">
        <f>'Escalation Factors'!E45*CFnuc*Cnuc*8766/1000000</f>
        <v>22.243222499274093</v>
      </c>
      <c r="G193" s="229">
        <f>'Table 6D LCOE Nuclear Revenue'!F47</f>
        <v>0.05180589022697465</v>
      </c>
      <c r="H193" s="227">
        <f t="shared" si="4"/>
        <v>1.1523299430915663</v>
      </c>
      <c r="J193" s="227">
        <f>'Escalation Factors'!I45*CFcoal*Ccoal*8766/1000000</f>
        <v>22.243222499274093</v>
      </c>
      <c r="K193" s="227">
        <f>(CFcoal*Ccoal*8766*Hcoal)/1000000000*'Escalation Factors'!K45</f>
        <v>237.28244619768924</v>
      </c>
      <c r="L193" s="229">
        <f>'Table 8D LCOE Coal Revenue'!F47</f>
        <v>0.09678797199317918</v>
      </c>
      <c r="M193" s="227">
        <f t="shared" si="1"/>
        <v>2.1528763962977937</v>
      </c>
      <c r="N193" s="227">
        <f t="shared" si="2"/>
        <v>22.966086757054992</v>
      </c>
      <c r="R193" s="227">
        <f>'Escalation Factors'!M45*CFgas*Cgas*8766/1000000</f>
        <v>22.243222499274093</v>
      </c>
      <c r="S193" s="227">
        <f>(CFgas*Cgas*8766*Hgas)/1000000000*'Escalation Factors'!O45</f>
        <v>181.90762504445172</v>
      </c>
      <c r="T193" s="229">
        <f>'Table 10D LCOE Gas Revenue'!F47</f>
        <v>0.09678797199317918</v>
      </c>
      <c r="U193" s="227">
        <f t="shared" si="5"/>
        <v>2.1528763962977937</v>
      </c>
      <c r="V193" s="227">
        <f t="shared" si="3"/>
        <v>17.60647011814813</v>
      </c>
    </row>
    <row r="194" spans="3:22" ht="12.75">
      <c r="C194" s="37">
        <v>32</v>
      </c>
      <c r="D194" s="37">
        <v>2045</v>
      </c>
      <c r="F194" s="227">
        <f>'Escalation Factors'!E46*CFnuc*Cnuc*8766/1000000</f>
        <v>22.91051917425232</v>
      </c>
      <c r="G194" s="229">
        <f>'Table 6D LCOE Nuclear Revenue'!F48</f>
        <v>0.04708770244226017</v>
      </c>
      <c r="H194" s="227">
        <f t="shared" si="4"/>
        <v>1.0788037096748895</v>
      </c>
      <c r="J194" s="227">
        <f>'Escalation Factors'!I46*CFcoal*Ccoal*8766/1000000</f>
        <v>22.91051917425232</v>
      </c>
      <c r="K194" s="227">
        <f>(CFcoal*Ccoal*8766*Hcoal)/1000000000*'Escalation Factors'!K46</f>
        <v>245.62292418153802</v>
      </c>
      <c r="L194" s="229">
        <f>'Table 8D LCOE Coal Revenue'!F48</f>
        <v>0.08976477592482116</v>
      </c>
      <c r="M194" s="227">
        <f t="shared" si="1"/>
        <v>2.0565576199980784</v>
      </c>
      <c r="N194" s="227">
        <f t="shared" si="2"/>
        <v>22.048286751155096</v>
      </c>
      <c r="R194" s="227">
        <f>'Escalation Factors'!M46*CFgas*Cgas*8766/1000000</f>
        <v>22.91051917425232</v>
      </c>
      <c r="S194" s="227">
        <f>(CFgas*Cgas*8766*Hgas)/1000000000*'Escalation Factors'!O46</f>
        <v>188.30167806476422</v>
      </c>
      <c r="T194" s="229">
        <f>'Table 10D LCOE Gas Revenue'!F48</f>
        <v>0.08976477592482116</v>
      </c>
      <c r="U194" s="227">
        <f t="shared" si="5"/>
        <v>2.0565576199980784</v>
      </c>
      <c r="V194" s="227">
        <f t="shared" si="3"/>
        <v>16.90285793775137</v>
      </c>
    </row>
    <row r="195" spans="3:22" ht="12.75">
      <c r="C195" s="37">
        <v>33</v>
      </c>
      <c r="D195" s="37">
        <v>2046</v>
      </c>
      <c r="F195" s="227">
        <f>'Escalation Factors'!E47*CFnuc*Cnuc*8766/1000000</f>
        <v>23.597834749479894</v>
      </c>
      <c r="G195" s="229">
        <f>'Table 6D LCOE Nuclear Revenue'!F49</f>
        <v>0.04279922054377401</v>
      </c>
      <c r="H195" s="227">
        <f t="shared" si="4"/>
        <v>1.009968933798524</v>
      </c>
      <c r="J195" s="227">
        <f>'Escalation Factors'!I47*CFcoal*Ccoal*8766/1000000</f>
        <v>23.597834749479894</v>
      </c>
      <c r="K195" s="227">
        <f>(CFcoal*Ccoal*8766*Hcoal)/1000000000*'Escalation Factors'!K47</f>
        <v>254.25656996651912</v>
      </c>
      <c r="L195" s="229">
        <f>'Table 8D LCOE Coal Revenue'!F49</f>
        <v>0.08325120188902391</v>
      </c>
      <c r="M195" s="227">
        <f t="shared" si="1"/>
        <v>1.9645481048727746</v>
      </c>
      <c r="N195" s="227">
        <f t="shared" si="2"/>
        <v>21.167165037893415</v>
      </c>
      <c r="R195" s="227">
        <f>'Escalation Factors'!M47*CFgas*Cgas*8766/1000000</f>
        <v>23.597834749479894</v>
      </c>
      <c r="S195" s="227">
        <f>(CFgas*Cgas*8766*Hgas)/1000000000*'Escalation Factors'!O47</f>
        <v>194.9204820487407</v>
      </c>
      <c r="T195" s="229">
        <f>'Table 10D LCOE Gas Revenue'!F49</f>
        <v>0.08325120188902391</v>
      </c>
      <c r="U195" s="227">
        <f t="shared" si="5"/>
        <v>1.9645481048727746</v>
      </c>
      <c r="V195" s="227">
        <f t="shared" si="3"/>
        <v>16.22736440334557</v>
      </c>
    </row>
    <row r="196" spans="3:22" ht="12.75">
      <c r="C196" s="37">
        <v>34</v>
      </c>
      <c r="D196" s="37">
        <v>2047</v>
      </c>
      <c r="F196" s="227">
        <f>'Escalation Factors'!E48*CFnuc*Cnuc*8766/1000000</f>
        <v>24.305769791964288</v>
      </c>
      <c r="G196" s="229">
        <f>'Table 6D LCOE Nuclear Revenue'!F50</f>
        <v>0.038901309347185976</v>
      </c>
      <c r="H196" s="227">
        <f t="shared" si="4"/>
        <v>0.9455262695986909</v>
      </c>
      <c r="J196" s="227">
        <f>'Escalation Factors'!I48*CFcoal*Ccoal*8766/1000000</f>
        <v>24.305769791964288</v>
      </c>
      <c r="K196" s="227">
        <f>(CFcoal*Ccoal*8766*Hcoal)/1000000000*'Escalation Factors'!K48</f>
        <v>263.19368840084223</v>
      </c>
      <c r="L196" s="229">
        <f>'Table 8D LCOE Coal Revenue'!F50</f>
        <v>0.07721027033779485</v>
      </c>
      <c r="M196" s="227">
        <f t="shared" si="1"/>
        <v>1.8766550564057702</v>
      </c>
      <c r="N196" s="227">
        <f t="shared" si="2"/>
        <v>20.321255832630367</v>
      </c>
      <c r="R196" s="227">
        <f>'Escalation Factors'!M48*CFgas*Cgas*8766/1000000</f>
        <v>24.305769791964288</v>
      </c>
      <c r="S196" s="227">
        <f>(CFgas*Cgas*8766*Hgas)/1000000000*'Escalation Factors'!O48</f>
        <v>201.7719369927539</v>
      </c>
      <c r="T196" s="229">
        <f>'Table 10D LCOE Gas Revenue'!F50</f>
        <v>0.07721027033779485</v>
      </c>
      <c r="U196" s="227">
        <f t="shared" si="5"/>
        <v>1.8766550564057702</v>
      </c>
      <c r="V196" s="227">
        <f t="shared" si="3"/>
        <v>15.578865801791036</v>
      </c>
    </row>
    <row r="197" spans="3:22" ht="12.75">
      <c r="C197" s="37">
        <v>35</v>
      </c>
      <c r="D197" s="37">
        <v>2048</v>
      </c>
      <c r="F197" s="227">
        <f>'Escalation Factors'!E49*CFnuc*Cnuc*8766/1000000</f>
        <v>25.034942885723215</v>
      </c>
      <c r="G197" s="229">
        <f>'Table 6D LCOE Nuclear Revenue'!F51</f>
        <v>0.035358397879645495</v>
      </c>
      <c r="H197" s="227">
        <f t="shared" si="4"/>
        <v>0.8851954714476018</v>
      </c>
      <c r="J197" s="227">
        <f>'Escalation Factors'!I49*CFcoal*Ccoal*8766/1000000</f>
        <v>25.034942885723215</v>
      </c>
      <c r="K197" s="227">
        <f>(CFcoal*Ccoal*8766*Hcoal)/1000000000*'Escalation Factors'!K49</f>
        <v>272.44494654813184</v>
      </c>
      <c r="L197" s="229">
        <f>'Table 8D LCOE Coal Revenue'!F51</f>
        <v>0.07160768505879475</v>
      </c>
      <c r="M197" s="227">
        <f t="shared" si="1"/>
        <v>1.7926943056257822</v>
      </c>
      <c r="N197" s="227">
        <f t="shared" si="2"/>
        <v>19.509151928278794</v>
      </c>
      <c r="R197" s="227">
        <f>'Escalation Factors'!M49*CFgas*Cgas*8766/1000000</f>
        <v>25.034942885723215</v>
      </c>
      <c r="S197" s="227">
        <f>(CFgas*Cgas*8766*Hgas)/1000000000*'Escalation Factors'!O49</f>
        <v>208.8642205780492</v>
      </c>
      <c r="T197" s="229">
        <f>'Table 10D LCOE Gas Revenue'!F51</f>
        <v>0.07160768505879475</v>
      </c>
      <c r="U197" s="227">
        <f t="shared" si="5"/>
        <v>1.7926943056257822</v>
      </c>
      <c r="V197" s="227">
        <f t="shared" si="3"/>
        <v>14.956283327203586</v>
      </c>
    </row>
    <row r="198" spans="3:22" ht="12.75">
      <c r="C198" s="37">
        <v>36</v>
      </c>
      <c r="D198" s="37">
        <v>2049</v>
      </c>
      <c r="F198" s="227">
        <f>'Escalation Factors'!E50*CFnuc*Cnuc*8766/1000000</f>
        <v>25.785991172294914</v>
      </c>
      <c r="G198" s="229">
        <f>'Table 6D LCOE Nuclear Revenue'!F52</f>
        <v>0.03213815477153744</v>
      </c>
      <c r="H198" s="227">
        <f t="shared" si="4"/>
        <v>0.8287141752327121</v>
      </c>
      <c r="J198" s="227">
        <f>'Escalation Factors'!I50*CFcoal*Ccoal*8766/1000000</f>
        <v>25.785991172294914</v>
      </c>
      <c r="K198" s="227">
        <f>(CFcoal*Ccoal*8766*Hcoal)/1000000000*'Escalation Factors'!K50</f>
        <v>282.0213864192987</v>
      </c>
      <c r="L198" s="229">
        <f>'Table 8D LCOE Coal Revenue'!F52</f>
        <v>0.06641163846527186</v>
      </c>
      <c r="M198" s="227">
        <f t="shared" si="1"/>
        <v>1.7124899232031414</v>
      </c>
      <c r="N198" s="227">
        <f t="shared" si="2"/>
        <v>18.729502354353198</v>
      </c>
      <c r="R198" s="227">
        <f>'Escalation Factors'!M50*CFgas*Cgas*8766/1000000</f>
        <v>25.785991172294914</v>
      </c>
      <c r="S198" s="227">
        <f>(CFgas*Cgas*8766*Hgas)/1000000000*'Escalation Factors'!O50</f>
        <v>216.20579793136764</v>
      </c>
      <c r="T198" s="229">
        <f>'Table 10D LCOE Gas Revenue'!F52</f>
        <v>0.06641163846527186</v>
      </c>
      <c r="U198" s="227">
        <f t="shared" si="5"/>
        <v>1.7124899232031414</v>
      </c>
      <c r="V198" s="227">
        <f t="shared" si="3"/>
        <v>14.35858128631361</v>
      </c>
    </row>
    <row r="199" spans="3:22" ht="12.75">
      <c r="C199" s="37">
        <v>37</v>
      </c>
      <c r="D199" s="37">
        <v>2050</v>
      </c>
      <c r="F199" s="227">
        <f>'Escalation Factors'!E51*CFnuc*Cnuc*8766/1000000</f>
        <v>26.559570907463762</v>
      </c>
      <c r="G199" s="229">
        <f>'Table 6D LCOE Nuclear Revenue'!F53</f>
        <v>0.029211193211722813</v>
      </c>
      <c r="H199" s="227">
        <f t="shared" si="4"/>
        <v>0.7758367573983761</v>
      </c>
      <c r="J199" s="227">
        <f>'Escalation Factors'!I51*CFcoal*Ccoal*8766/1000000</f>
        <v>26.559570907463762</v>
      </c>
      <c r="K199" s="227">
        <f>(CFcoal*Ccoal*8766*Hcoal)/1000000000*'Escalation Factors'!K51</f>
        <v>291.93443815193706</v>
      </c>
      <c r="L199" s="229">
        <f>'Table 8D LCOE Coal Revenue'!F53</f>
        <v>0.06159263101468307</v>
      </c>
      <c r="M199" s="227">
        <f t="shared" si="1"/>
        <v>1.6358738508117265</v>
      </c>
      <c r="N199" s="227">
        <f t="shared" si="2"/>
        <v>17.981010129571075</v>
      </c>
      <c r="R199" s="227">
        <f>'Escalation Factors'!M51*CFgas*Cgas*8766/1000000</f>
        <v>26.559570907463762</v>
      </c>
      <c r="S199" s="227">
        <f>(CFgas*Cgas*8766*Hgas)/1000000000*'Escalation Factors'!O51</f>
        <v>223.80543172865524</v>
      </c>
      <c r="T199" s="229">
        <f>'Table 10D LCOE Gas Revenue'!F53</f>
        <v>0.06159263101468307</v>
      </c>
      <c r="U199" s="227">
        <f t="shared" si="5"/>
        <v>1.6358738508117265</v>
      </c>
      <c r="V199" s="227">
        <f t="shared" si="3"/>
        <v>13.784765375544906</v>
      </c>
    </row>
    <row r="200" spans="3:22" ht="12.75">
      <c r="C200" s="37">
        <v>38</v>
      </c>
      <c r="D200" s="37">
        <v>2051</v>
      </c>
      <c r="F200" s="227">
        <f>'Escalation Factors'!E52*CFnuc*Cnuc*8766/1000000</f>
        <v>27.356358034687673</v>
      </c>
      <c r="G200" s="229">
        <f>'Table 6D LCOE Nuclear Revenue'!F54</f>
        <v>0.026550802773789135</v>
      </c>
      <c r="H200" s="227">
        <f t="shared" si="4"/>
        <v>0.7263332667881541</v>
      </c>
      <c r="J200" s="227">
        <f>'Escalation Factors'!I52*CFcoal*Ccoal*8766/1000000</f>
        <v>27.356358034687673</v>
      </c>
      <c r="K200" s="227">
        <f>(CFcoal*Ccoal*8766*Hcoal)/1000000000*'Escalation Factors'!K52</f>
        <v>302.19593365297766</v>
      </c>
      <c r="L200" s="229">
        <f>'Table 8D LCOE Coal Revenue'!F54</f>
        <v>0.05712330373078633</v>
      </c>
      <c r="M200" s="227">
        <f t="shared" si="1"/>
        <v>1.562685548983601</v>
      </c>
      <c r="N200" s="227">
        <f t="shared" si="2"/>
        <v>17.262430104267597</v>
      </c>
      <c r="R200" s="227">
        <f>'Escalation Factors'!M52*CFgas*Cgas*8766/1000000</f>
        <v>27.356358034687673</v>
      </c>
      <c r="S200" s="227">
        <f>(CFgas*Cgas*8766*Hgas)/1000000000*'Escalation Factors'!O52</f>
        <v>231.67219265391745</v>
      </c>
      <c r="T200" s="229">
        <f>'Table 10D LCOE Gas Revenue'!F54</f>
        <v>0.05712330373078633</v>
      </c>
      <c r="U200" s="227">
        <f t="shared" si="5"/>
        <v>1.562685548983601</v>
      </c>
      <c r="V200" s="227">
        <f t="shared" si="3"/>
        <v>13.233881026946971</v>
      </c>
    </row>
    <row r="201" spans="3:22" ht="12.75">
      <c r="C201" s="37">
        <v>39</v>
      </c>
      <c r="D201" s="37">
        <v>2052</v>
      </c>
      <c r="F201" s="227">
        <f>'Escalation Factors'!E53*CFnuc*Cnuc*8766/1000000</f>
        <v>28.177048775728295</v>
      </c>
      <c r="G201" s="229">
        <f>'Table 6D LCOE Nuclear Revenue'!F55</f>
        <v>0.02413270566605084</v>
      </c>
      <c r="H201" s="227">
        <f t="shared" si="4"/>
        <v>0.6799884246426091</v>
      </c>
      <c r="J201" s="227">
        <f>'Escalation Factors'!I53*CFcoal*Ccoal*8766/1000000</f>
        <v>28.177048775728295</v>
      </c>
      <c r="K201" s="227">
        <f>(CFcoal*Ccoal*8766*Hcoal)/1000000000*'Escalation Factors'!K53</f>
        <v>312.8181207208798</v>
      </c>
      <c r="L201" s="229">
        <f>'Table 8D LCOE Coal Revenue'!F55</f>
        <v>0.052978282878381744</v>
      </c>
      <c r="M201" s="227">
        <f t="shared" si="1"/>
        <v>1.4927716607184935</v>
      </c>
      <c r="N201" s="227">
        <f t="shared" si="2"/>
        <v>16.57256688903454</v>
      </c>
      <c r="R201" s="227">
        <f>'Escalation Factors'!M53*CFgas*Cgas*8766/1000000</f>
        <v>28.177048775728295</v>
      </c>
      <c r="S201" s="227">
        <f>(CFgas*Cgas*8766*Hgas)/1000000000*'Escalation Factors'!O53</f>
        <v>239.81547022570263</v>
      </c>
      <c r="T201" s="229">
        <f>'Table 10D LCOE Gas Revenue'!F55</f>
        <v>0.052978282878381744</v>
      </c>
      <c r="U201" s="227">
        <f t="shared" si="5"/>
        <v>1.4927716607184935</v>
      </c>
      <c r="V201" s="227">
        <f t="shared" si="3"/>
        <v>12.705011820229409</v>
      </c>
    </row>
    <row r="202" spans="3:22" ht="12.75">
      <c r="C202" s="37">
        <v>40</v>
      </c>
      <c r="D202" s="37">
        <v>2053</v>
      </c>
      <c r="F202" s="227">
        <f>'Escalation Factors'!E54*CFnuc*Cnuc*8766/1000000</f>
        <v>29.02236023900015</v>
      </c>
      <c r="G202" s="229">
        <f>'Table 6D LCOE Nuclear Revenue'!F56</f>
        <v>0.021934835180922412</v>
      </c>
      <c r="H202" s="227">
        <f t="shared" si="4"/>
        <v>0.6366006884038243</v>
      </c>
      <c r="J202" s="227">
        <f>'Escalation Factors'!I54*CFcoal*Ccoal*8766/1000000</f>
        <v>29.02236023900015</v>
      </c>
      <c r="K202" s="227">
        <f>(CFcoal*Ccoal*8766*Hcoal)/1000000000*'Escalation Factors'!K54</f>
        <v>323.81367766421874</v>
      </c>
      <c r="L202" s="229">
        <f>'Table 8D LCOE Coal Revenue'!F56</f>
        <v>0.04913403590887162</v>
      </c>
      <c r="M202" s="227">
        <f t="shared" si="1"/>
        <v>1.4259856901432415</v>
      </c>
      <c r="N202" s="227">
        <f t="shared" si="2"/>
        <v>15.910272866137506</v>
      </c>
      <c r="R202" s="227">
        <f>'Escalation Factors'!M54*CFgas*Cgas*8766/1000000</f>
        <v>29.02236023900015</v>
      </c>
      <c r="S202" s="227">
        <f>(CFgas*Cgas*8766*Hgas)/1000000000*'Escalation Factors'!O54</f>
        <v>248.2449840041361</v>
      </c>
      <c r="T202" s="229">
        <f>'Table 10D LCOE Gas Revenue'!F56</f>
        <v>0.04913403590887162</v>
      </c>
      <c r="U202" s="227">
        <f t="shared" si="5"/>
        <v>1.4259856901432415</v>
      </c>
      <c r="V202" s="227">
        <f t="shared" si="3"/>
        <v>12.197277958256485</v>
      </c>
    </row>
    <row r="204" spans="6:22" ht="12.75">
      <c r="F204" s="227">
        <f>SUM(F163:F202)</f>
        <v>690.9705962500973</v>
      </c>
      <c r="H204" s="227">
        <f>SUM(H163:H202)</f>
        <v>121.19963603434897</v>
      </c>
      <c r="J204" s="227">
        <f>SUM(J163:J202)</f>
        <v>690.9705962500973</v>
      </c>
      <c r="K204" s="227">
        <f>SUM(K163:K202)</f>
        <v>7141.503568235954</v>
      </c>
      <c r="M204" s="227">
        <f>SUM(M163:M202)</f>
        <v>159.51799124833536</v>
      </c>
      <c r="N204" s="227">
        <f>SUM(N163:N202)</f>
        <v>1571.1849397363608</v>
      </c>
      <c r="R204" s="227">
        <f>SUM(R163:R202)</f>
        <v>690.9705962500973</v>
      </c>
      <c r="S204" s="227">
        <f>SUM(S163:S202)</f>
        <v>5474.884358963302</v>
      </c>
      <c r="U204" s="227">
        <f>SUM(U163:U202)</f>
        <v>159.51799124833536</v>
      </c>
      <c r="V204" s="227">
        <f>SUM(V163:V202)</f>
        <v>1204.5160755588786</v>
      </c>
    </row>
    <row r="206" spans="14:23" ht="12.75">
      <c r="N206" s="221">
        <f>N204/M204</f>
        <v>9.84957826663177</v>
      </c>
      <c r="O206" s="37" t="s">
        <v>612</v>
      </c>
      <c r="V206" s="221">
        <f>V204/U204</f>
        <v>7.550973192006317</v>
      </c>
      <c r="W206" s="37" t="s">
        <v>612</v>
      </c>
    </row>
    <row r="207" spans="13:23" ht="12.75">
      <c r="M207" s="258">
        <v>10</v>
      </c>
      <c r="N207" s="221">
        <f>M207*G97/G94</f>
        <v>0.4</v>
      </c>
      <c r="O207" t="s">
        <v>272</v>
      </c>
      <c r="V207" s="221">
        <v>1</v>
      </c>
      <c r="W207" t="s">
        <v>272</v>
      </c>
    </row>
    <row r="208" spans="11:23" ht="12.75">
      <c r="K208" s="228"/>
      <c r="N208" s="228">
        <f>N206*N207</f>
        <v>3.9398313066527084</v>
      </c>
      <c r="O208" s="19" t="s">
        <v>281</v>
      </c>
      <c r="S208" s="228"/>
      <c r="V208" s="228">
        <f>V206*V207</f>
        <v>7.550973192006317</v>
      </c>
      <c r="W208" s="19" t="s">
        <v>281</v>
      </c>
    </row>
    <row r="209" spans="11:23" ht="12.75">
      <c r="K209" s="228"/>
      <c r="N209" s="228">
        <f>N208/10</f>
        <v>0.39398313066527085</v>
      </c>
      <c r="O209" s="19" t="s">
        <v>342</v>
      </c>
      <c r="S209" s="228"/>
      <c r="V209" s="228">
        <f>V208/10</f>
        <v>0.7550973192006316</v>
      </c>
      <c r="W209" s="19" t="s">
        <v>342</v>
      </c>
    </row>
    <row r="211" ht="12.75">
      <c r="K211" s="221"/>
    </row>
    <row r="212" spans="3:13" ht="12.75">
      <c r="C212" s="224"/>
      <c r="D212" s="200"/>
      <c r="E212" s="237"/>
      <c r="F212" s="200"/>
      <c r="G212" s="200"/>
      <c r="H212" s="200"/>
      <c r="I212" s="200"/>
      <c r="J212" s="200"/>
      <c r="K212" s="200"/>
      <c r="L212" s="200"/>
      <c r="M212" s="200"/>
    </row>
    <row r="213" ht="15.75">
      <c r="C213" s="74" t="s">
        <v>383</v>
      </c>
    </row>
    <row r="214" ht="12.75">
      <c r="D214" s="215"/>
    </row>
    <row r="215" spans="4:6" ht="12.75">
      <c r="D215" s="198" t="s">
        <v>448</v>
      </c>
      <c r="E215" s="134"/>
      <c r="F215" s="134" t="s">
        <v>38</v>
      </c>
    </row>
    <row r="217" spans="4:6" ht="12.75">
      <c r="D217" s="130" t="s">
        <v>384</v>
      </c>
      <c r="E217" s="130"/>
      <c r="F217" s="130">
        <v>48</v>
      </c>
    </row>
    <row r="218" spans="4:6" ht="12.75">
      <c r="D218" s="130" t="s">
        <v>385</v>
      </c>
      <c r="E218" s="130"/>
      <c r="F218" s="17">
        <v>11</v>
      </c>
    </row>
    <row r="219" spans="4:6" ht="12.75">
      <c r="D219" s="130" t="s">
        <v>386</v>
      </c>
      <c r="E219" s="130"/>
      <c r="F219" s="17">
        <v>21</v>
      </c>
    </row>
    <row r="220" spans="3:7" ht="12.75">
      <c r="C220" s="223"/>
      <c r="D220" s="130" t="s">
        <v>387</v>
      </c>
      <c r="E220" s="130"/>
      <c r="F220" s="17">
        <v>6</v>
      </c>
      <c r="G220" s="223"/>
    </row>
    <row r="221" spans="3:7" ht="12.75">
      <c r="C221" s="224"/>
      <c r="D221" s="244" t="s">
        <v>388</v>
      </c>
      <c r="E221" s="244"/>
      <c r="F221" s="245">
        <v>-4</v>
      </c>
      <c r="G221" s="224"/>
    </row>
    <row r="222" spans="3:7" ht="12.75">
      <c r="C222" s="223"/>
      <c r="D222" s="130" t="s">
        <v>389</v>
      </c>
      <c r="E222" s="130"/>
      <c r="F222" s="17">
        <v>11</v>
      </c>
      <c r="G222" s="223"/>
    </row>
    <row r="223" spans="4:6" ht="12.75">
      <c r="D223" s="130" t="s">
        <v>390</v>
      </c>
      <c r="E223" s="130"/>
      <c r="F223" s="17">
        <v>-43</v>
      </c>
    </row>
    <row r="225" spans="4:5" ht="12.75">
      <c r="D225" s="183" t="s">
        <v>391</v>
      </c>
      <c r="E225" s="134"/>
    </row>
    <row r="227" spans="4:6" ht="12.75">
      <c r="D227" s="134" t="s">
        <v>392</v>
      </c>
      <c r="E227" s="134"/>
      <c r="F227" s="37">
        <v>-32</v>
      </c>
    </row>
    <row r="228" spans="4:6" ht="12.75">
      <c r="D228" s="134" t="s">
        <v>393</v>
      </c>
      <c r="E228" s="134"/>
      <c r="F228" s="37">
        <v>21</v>
      </c>
    </row>
    <row r="229" spans="4:6" ht="12.75">
      <c r="D229" s="134" t="s">
        <v>394</v>
      </c>
      <c r="E229" s="134"/>
      <c r="F229" s="37">
        <v>48</v>
      </c>
    </row>
    <row r="230" spans="4:6" ht="12.75">
      <c r="D230" s="134" t="s">
        <v>395</v>
      </c>
      <c r="E230" s="134"/>
      <c r="F230" s="37">
        <v>53</v>
      </c>
    </row>
    <row r="231" spans="4:6" ht="12.75">
      <c r="D231" s="134" t="s">
        <v>396</v>
      </c>
      <c r="E231" s="134"/>
      <c r="F231" s="37">
        <v>16</v>
      </c>
    </row>
  </sheetData>
  <sheetProtection/>
  <printOptions/>
  <pageMargins left="0.75" right="0.75" top="1" bottom="1" header="0.5" footer="0.5"/>
  <pageSetup horizontalDpi="600" verticalDpi="600" orientation="portrait" scale="70"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2:K61"/>
  <sheetViews>
    <sheetView zoomScalePageLayoutView="0" workbookViewId="0" topLeftCell="A1">
      <selection activeCell="C34" sqref="C34"/>
    </sheetView>
  </sheetViews>
  <sheetFormatPr defaultColWidth="8.8515625" defaultRowHeight="12.75"/>
  <cols>
    <col min="1" max="1" width="2.8515625" style="0" customWidth="1"/>
    <col min="2" max="2" width="4.28125" style="0" customWidth="1"/>
    <col min="3" max="3" width="62.7109375" style="0" customWidth="1"/>
    <col min="4" max="8" width="8.8515625" style="0" customWidth="1"/>
    <col min="9" max="9" width="3.140625" style="0" customWidth="1"/>
    <col min="10" max="10" width="8.8515625" style="0" customWidth="1"/>
    <col min="11" max="11" width="2.8515625" style="0" customWidth="1"/>
    <col min="12" max="250" width="8.8515625" style="0" customWidth="1"/>
  </cols>
  <sheetData>
    <row r="2" spans="1:11" ht="16.5" thickBot="1">
      <c r="A2" s="9"/>
      <c r="B2" s="10" t="s">
        <v>300</v>
      </c>
      <c r="C2" s="9"/>
      <c r="D2" s="9"/>
      <c r="E2" s="9"/>
      <c r="F2" s="9"/>
      <c r="G2" s="9"/>
      <c r="H2" s="9"/>
      <c r="I2" s="9"/>
      <c r="J2" s="9"/>
      <c r="K2" s="9"/>
    </row>
    <row r="4" spans="4:10" s="17" customFormat="1" ht="16.5" customHeight="1">
      <c r="D4" s="18" t="s">
        <v>153</v>
      </c>
      <c r="E4" s="18" t="s">
        <v>154</v>
      </c>
      <c r="F4" s="18" t="s">
        <v>155</v>
      </c>
      <c r="G4" s="18" t="s">
        <v>156</v>
      </c>
      <c r="H4" s="18" t="s">
        <v>157</v>
      </c>
      <c r="I4" s="18"/>
      <c r="J4" s="18" t="s">
        <v>158</v>
      </c>
    </row>
    <row r="5" spans="2:10" s="37" customFormat="1" ht="12.75">
      <c r="B5" s="37" t="s">
        <v>160</v>
      </c>
      <c r="C5" s="37" t="s">
        <v>123</v>
      </c>
      <c r="D5" s="38">
        <v>-4</v>
      </c>
      <c r="E5" s="38">
        <v>-3</v>
      </c>
      <c r="F5" s="38">
        <v>-2</v>
      </c>
      <c r="G5" s="38">
        <v>-1</v>
      </c>
      <c r="H5" s="38">
        <v>0</v>
      </c>
      <c r="I5" s="38"/>
      <c r="J5" s="38"/>
    </row>
    <row r="6" spans="2:10" ht="12.75">
      <c r="B6" t="s">
        <v>161</v>
      </c>
      <c r="C6" s="12" t="s">
        <v>87</v>
      </c>
      <c r="D6" s="11">
        <v>2009</v>
      </c>
      <c r="E6" s="11">
        <v>2010</v>
      </c>
      <c r="F6" s="11">
        <v>2011</v>
      </c>
      <c r="G6" s="11">
        <v>2012</v>
      </c>
      <c r="H6" s="11">
        <v>2013</v>
      </c>
      <c r="I6" s="11"/>
      <c r="J6" s="11" t="s">
        <v>88</v>
      </c>
    </row>
    <row r="8" spans="2:10" ht="13.5" thickBot="1">
      <c r="B8" t="s">
        <v>162</v>
      </c>
      <c r="C8" t="s">
        <v>355</v>
      </c>
      <c r="D8" s="4">
        <v>0.09544677587222047</v>
      </c>
      <c r="E8" s="4">
        <v>0.25</v>
      </c>
      <c r="F8" s="4">
        <f>1-2*D8-2*E8</f>
        <v>0.309106448255559</v>
      </c>
      <c r="G8" s="4">
        <f>E8</f>
        <v>0.25</v>
      </c>
      <c r="H8" s="4">
        <f>D8</f>
        <v>0.09544677587222047</v>
      </c>
      <c r="I8" s="5"/>
      <c r="J8" s="7">
        <f>SUM(D8:H8)</f>
        <v>1</v>
      </c>
    </row>
    <row r="9" spans="2:10" ht="13.5" thickBot="1">
      <c r="B9" t="s">
        <v>163</v>
      </c>
      <c r="C9" t="s">
        <v>89</v>
      </c>
      <c r="D9" s="6">
        <f>D8*$J$9</f>
        <v>318.12410398211085</v>
      </c>
      <c r="E9" s="6">
        <f>E8*$J$9</f>
        <v>833.25</v>
      </c>
      <c r="F9" s="6">
        <f>F8*$J$9</f>
        <v>1030.2517920357782</v>
      </c>
      <c r="G9" s="6">
        <f>G8*$J$9</f>
        <v>833.25</v>
      </c>
      <c r="H9" s="6">
        <f>H8*$J$9</f>
        <v>318.12410398211085</v>
      </c>
      <c r="I9" s="6"/>
      <c r="J9" s="40">
        <f>D52</f>
        <v>3333</v>
      </c>
    </row>
    <row r="10" spans="3:10" ht="12.75">
      <c r="C10" s="12"/>
      <c r="D10" s="13"/>
      <c r="E10" s="13"/>
      <c r="F10" s="13"/>
      <c r="G10" s="13"/>
      <c r="H10" s="13"/>
      <c r="I10" s="13"/>
      <c r="J10" s="13"/>
    </row>
    <row r="11" spans="4:10" ht="12.75">
      <c r="D11" s="6"/>
      <c r="E11" s="6"/>
      <c r="F11" s="6"/>
      <c r="G11" s="6"/>
      <c r="H11" s="6"/>
      <c r="I11" s="6"/>
      <c r="J11" s="8"/>
    </row>
    <row r="12" spans="2:10" ht="12.75">
      <c r="B12" t="s">
        <v>164</v>
      </c>
      <c r="C12" t="s">
        <v>172</v>
      </c>
      <c r="D12" s="6">
        <f>D9*(1+$D$53)^(D6-2007)</f>
        <v>337.4978619146214</v>
      </c>
      <c r="E12" s="6">
        <f>E9*(1+$D$53)^(E6-2007)</f>
        <v>910.51477275</v>
      </c>
      <c r="F12" s="6">
        <f>F9*(1+$D$53)^(F6-2007)</f>
        <v>1159.557468454556</v>
      </c>
      <c r="G12" s="6">
        <f>G9*(1+$D$53)^(G6-2007)</f>
        <v>965.9651224104749</v>
      </c>
      <c r="H12" s="6">
        <f>H9*(1+$D$53)^(H6-2007)</f>
        <v>379.85681694106984</v>
      </c>
      <c r="I12" s="6"/>
      <c r="J12" s="8">
        <f aca="true" t="shared" si="0" ref="J12:J17">SUM(D12:H12)</f>
        <v>3753.392042470722</v>
      </c>
    </row>
    <row r="13" spans="2:10" ht="12.75">
      <c r="B13" t="s">
        <v>165</v>
      </c>
      <c r="C13" t="s">
        <v>90</v>
      </c>
      <c r="D13" s="6">
        <f>$D$54*D12</f>
        <v>67.49957238292428</v>
      </c>
      <c r="E13" s="6">
        <f>$D$54*E12</f>
        <v>182.10295455000002</v>
      </c>
      <c r="F13" s="6">
        <f>$D$54*F12</f>
        <v>231.91149369091124</v>
      </c>
      <c r="G13" s="6">
        <f>$D$54*G12</f>
        <v>193.19302448209498</v>
      </c>
      <c r="H13" s="6">
        <f>$D$54*H12</f>
        <v>75.97136338821397</v>
      </c>
      <c r="I13" s="6"/>
      <c r="J13" s="8">
        <f t="shared" si="0"/>
        <v>750.6784084941445</v>
      </c>
    </row>
    <row r="14" spans="2:10" ht="13.5" thickBot="1">
      <c r="B14" t="s">
        <v>166</v>
      </c>
      <c r="C14" t="s">
        <v>187</v>
      </c>
      <c r="D14" s="6"/>
      <c r="E14" s="6"/>
      <c r="F14" s="6"/>
      <c r="G14" s="6">
        <v>145</v>
      </c>
      <c r="H14" s="6">
        <v>57</v>
      </c>
      <c r="I14" s="6"/>
      <c r="J14" s="8">
        <f t="shared" si="0"/>
        <v>202</v>
      </c>
    </row>
    <row r="15" spans="2:10" ht="13.5" thickBot="1">
      <c r="B15" t="s">
        <v>167</v>
      </c>
      <c r="C15" t="s">
        <v>206</v>
      </c>
      <c r="D15" s="6">
        <f>SUM(D12:D14)</f>
        <v>404.9974342975457</v>
      </c>
      <c r="E15" s="6">
        <f>SUM(E12:E14)</f>
        <v>1092.6177273</v>
      </c>
      <c r="F15" s="6">
        <f>SUM(F12:F14)</f>
        <v>1391.4689621454672</v>
      </c>
      <c r="G15" s="6">
        <f>SUM(G12:G14)</f>
        <v>1304.15814689257</v>
      </c>
      <c r="H15" s="6">
        <f>SUM(H12:H14)</f>
        <v>512.8281803292838</v>
      </c>
      <c r="I15" s="6"/>
      <c r="J15" s="40">
        <f t="shared" si="0"/>
        <v>4706.070450964867</v>
      </c>
    </row>
    <row r="16" spans="2:10" ht="13.5" thickBot="1">
      <c r="B16" t="s">
        <v>168</v>
      </c>
      <c r="C16" t="s">
        <v>188</v>
      </c>
      <c r="D16" s="6"/>
      <c r="E16" s="6">
        <f>$D$55*D18</f>
        <v>46.57470494421776</v>
      </c>
      <c r="F16" s="6">
        <f>$D$55*E18</f>
        <v>177.5818346523028</v>
      </c>
      <c r="G16" s="6">
        <f>$D$55*F18</f>
        <v>358.0226762840464</v>
      </c>
      <c r="H16" s="6">
        <f>$D$55*G18</f>
        <v>549.1734709493574</v>
      </c>
      <c r="I16" s="6"/>
      <c r="J16" s="8">
        <f t="shared" si="0"/>
        <v>1131.3526868299243</v>
      </c>
    </row>
    <row r="17" spans="2:10" ht="13.5" thickBot="1">
      <c r="B17" t="s">
        <v>169</v>
      </c>
      <c r="C17" t="s">
        <v>344</v>
      </c>
      <c r="D17" s="6">
        <f>D15+D16</f>
        <v>404.9974342975457</v>
      </c>
      <c r="E17" s="6">
        <f>E15+E16</f>
        <v>1139.1924322442178</v>
      </c>
      <c r="F17" s="6">
        <f>F15+F16</f>
        <v>1569.05079679777</v>
      </c>
      <c r="G17" s="6">
        <f>G15+G16</f>
        <v>1662.1808231766163</v>
      </c>
      <c r="H17" s="6">
        <f>H15+H16</f>
        <v>1062.001651278641</v>
      </c>
      <c r="I17" s="6"/>
      <c r="J17" s="40">
        <f t="shared" si="0"/>
        <v>5837.423137794791</v>
      </c>
    </row>
    <row r="18" spans="2:10" ht="12.75">
      <c r="B18" t="s">
        <v>170</v>
      </c>
      <c r="C18" t="s">
        <v>137</v>
      </c>
      <c r="D18" s="6">
        <f>D15+D16</f>
        <v>404.9974342975457</v>
      </c>
      <c r="E18" s="6">
        <f>D18+E15+E16</f>
        <v>1544.1898665417634</v>
      </c>
      <c r="F18" s="6">
        <f>E18+F15+F16</f>
        <v>3113.2406633395335</v>
      </c>
      <c r="G18" s="6">
        <f>F18+G15+G16</f>
        <v>4775.42148651615</v>
      </c>
      <c r="H18" s="6">
        <f>G18+H15+H16</f>
        <v>5837.423137794792</v>
      </c>
      <c r="I18" s="6"/>
      <c r="J18" s="8"/>
    </row>
    <row r="19" spans="3:10" ht="12.75">
      <c r="C19" s="12"/>
      <c r="D19" s="13"/>
      <c r="E19" s="13"/>
      <c r="F19" s="13"/>
      <c r="G19" s="13"/>
      <c r="H19" s="13"/>
      <c r="I19" s="13"/>
      <c r="J19" s="13"/>
    </row>
    <row r="20" spans="4:10" ht="12.75">
      <c r="D20" s="6"/>
      <c r="E20" s="6"/>
      <c r="F20" s="6"/>
      <c r="G20" s="6"/>
      <c r="H20" s="6"/>
      <c r="I20" s="6"/>
      <c r="J20" s="8"/>
    </row>
    <row r="21" spans="2:10" ht="12.75">
      <c r="B21" t="s">
        <v>171</v>
      </c>
      <c r="C21" t="s">
        <v>148</v>
      </c>
      <c r="D21" s="6">
        <f>D12+D13</f>
        <v>404.9974342975457</v>
      </c>
      <c r="E21" s="6">
        <f>E12+E13</f>
        <v>1092.6177273</v>
      </c>
      <c r="F21" s="6">
        <f>F12+F13</f>
        <v>1391.4689621454672</v>
      </c>
      <c r="G21" s="6">
        <f>G12+G13</f>
        <v>1159.15814689257</v>
      </c>
      <c r="H21" s="6">
        <f>H12+H13</f>
        <v>455.8281803292838</v>
      </c>
      <c r="I21" s="6"/>
      <c r="J21" s="8">
        <f>SUM(D21:H21)</f>
        <v>4504.070450964867</v>
      </c>
    </row>
    <row r="22" spans="2:10" ht="13.5" thickBot="1">
      <c r="B22" t="s">
        <v>174</v>
      </c>
      <c r="C22" t="s">
        <v>345</v>
      </c>
      <c r="D22" s="6">
        <f>D21*(1+$D$55)^($H$6-D6)</f>
        <v>625.9674366818582</v>
      </c>
      <c r="E22" s="6">
        <f>E21*(1+$D$55)^($H$6-E6)</f>
        <v>1514.5821865351352</v>
      </c>
      <c r="F22" s="6">
        <f>F21*(1+$D$55)^($H$6-F6)</f>
        <v>1729.9090004632985</v>
      </c>
      <c r="G22" s="6">
        <f>G21*(1+$D$55)^($H$6-G6)</f>
        <v>1292.4613337852154</v>
      </c>
      <c r="H22" s="6">
        <f>H21*(1+$D$55)^($H$6-H6)</f>
        <v>455.8281803292838</v>
      </c>
      <c r="I22" s="6"/>
      <c r="J22" s="8">
        <f>SUM(D22:H22)</f>
        <v>5618.748137794792</v>
      </c>
    </row>
    <row r="23" spans="2:10" ht="13.5" thickBot="1">
      <c r="B23" t="s">
        <v>124</v>
      </c>
      <c r="C23" t="s">
        <v>147</v>
      </c>
      <c r="D23" s="6">
        <f>D21*(1+$D$53)^(2007-D6)</f>
        <v>381.748924778533</v>
      </c>
      <c r="E23" s="6">
        <f>E21*(1+$D$53)^(2007-E6)</f>
        <v>999.9000000000001</v>
      </c>
      <c r="F23" s="6">
        <f>F21*(1+$D$53)^(2007-F6)</f>
        <v>1236.3021504429337</v>
      </c>
      <c r="G23" s="6">
        <f>G21*(1+$D$53)^(2007-G6)</f>
        <v>999.9000000000001</v>
      </c>
      <c r="H23" s="6">
        <f>H21*(1+$D$53)^(2007-H6)</f>
        <v>381.748924778533</v>
      </c>
      <c r="I23" s="6"/>
      <c r="J23" s="40">
        <f>SUM(D23:H23)</f>
        <v>3999.5999999999995</v>
      </c>
    </row>
    <row r="24" spans="2:10" ht="12.75">
      <c r="B24" t="s">
        <v>221</v>
      </c>
      <c r="C24" t="s">
        <v>346</v>
      </c>
      <c r="D24" s="6">
        <f>D21*(1+$D$53)^($H$6-D6)</f>
        <v>455.8281803292838</v>
      </c>
      <c r="E24" s="6">
        <f>E21*(1+$D$53)^($H$6-E6)</f>
        <v>1193.9328912993471</v>
      </c>
      <c r="F24" s="6">
        <f>F21*(1+$D$53)^($H$6-F6)</f>
        <v>1476.209421940126</v>
      </c>
      <c r="G24" s="6">
        <f>G21*(1+$D$53)^($H$6-G6)</f>
        <v>1193.932891299347</v>
      </c>
      <c r="H24" s="6">
        <f>H21*(1+$D$53)^($H$6-H6)</f>
        <v>455.8281803292838</v>
      </c>
      <c r="I24" s="6"/>
      <c r="J24" s="8">
        <f>SUM(D24:H24)</f>
        <v>4775.731565197388</v>
      </c>
    </row>
    <row r="25" spans="1:11" ht="13.5" thickBot="1">
      <c r="A25" s="9"/>
      <c r="B25" s="9"/>
      <c r="C25" s="9"/>
      <c r="D25" s="14"/>
      <c r="E25" s="14"/>
      <c r="F25" s="14"/>
      <c r="G25" s="14"/>
      <c r="H25" s="14"/>
      <c r="I25" s="9"/>
      <c r="J25" s="14"/>
      <c r="K25" s="9"/>
    </row>
    <row r="27" ht="12.75">
      <c r="B27" s="15" t="s">
        <v>177</v>
      </c>
    </row>
    <row r="28" ht="12.75">
      <c r="B28" s="15" t="s">
        <v>176</v>
      </c>
    </row>
    <row r="29" ht="12.75">
      <c r="B29" s="15" t="s">
        <v>444</v>
      </c>
    </row>
    <row r="30" ht="12.75">
      <c r="B30" s="15" t="s">
        <v>0</v>
      </c>
    </row>
    <row r="31" spans="2:3" ht="12.75">
      <c r="B31" s="15" t="s">
        <v>162</v>
      </c>
      <c r="C31" s="15" t="s">
        <v>173</v>
      </c>
    </row>
    <row r="32" spans="2:3" ht="12.75">
      <c r="B32" s="15" t="s">
        <v>163</v>
      </c>
      <c r="C32" s="16" t="s">
        <v>125</v>
      </c>
    </row>
    <row r="33" spans="2:3" ht="12.75">
      <c r="B33" s="15" t="s">
        <v>164</v>
      </c>
      <c r="C33" s="16" t="s">
        <v>126</v>
      </c>
    </row>
    <row r="34" spans="2:3" ht="12.75">
      <c r="B34" s="15" t="s">
        <v>165</v>
      </c>
      <c r="C34" s="16" t="s">
        <v>127</v>
      </c>
    </row>
    <row r="35" spans="2:3" ht="12.75">
      <c r="B35" s="15" t="s">
        <v>166</v>
      </c>
      <c r="C35" s="15" t="s">
        <v>175</v>
      </c>
    </row>
    <row r="36" spans="2:3" ht="12.75">
      <c r="B36" s="15" t="s">
        <v>167</v>
      </c>
      <c r="C36" s="16" t="s">
        <v>128</v>
      </c>
    </row>
    <row r="37" spans="2:3" ht="12.75">
      <c r="B37" s="15" t="s">
        <v>168</v>
      </c>
      <c r="C37" s="15" t="s">
        <v>347</v>
      </c>
    </row>
    <row r="38" spans="2:3" ht="12.75">
      <c r="B38" s="15" t="s">
        <v>169</v>
      </c>
      <c r="C38" s="16" t="s">
        <v>348</v>
      </c>
    </row>
    <row r="39" spans="2:3" ht="12.75">
      <c r="B39" s="15" t="s">
        <v>170</v>
      </c>
      <c r="C39" s="15" t="s">
        <v>419</v>
      </c>
    </row>
    <row r="40" spans="2:3" ht="12.75">
      <c r="B40" s="15" t="s">
        <v>171</v>
      </c>
      <c r="C40" s="16" t="s">
        <v>129</v>
      </c>
    </row>
    <row r="41" spans="2:3" ht="12.75">
      <c r="B41" s="15" t="s">
        <v>174</v>
      </c>
      <c r="C41" s="16" t="s">
        <v>349</v>
      </c>
    </row>
    <row r="42" spans="2:3" ht="12.75">
      <c r="B42" s="15" t="s">
        <v>124</v>
      </c>
      <c r="C42" s="16" t="s">
        <v>130</v>
      </c>
    </row>
    <row r="43" spans="2:3" ht="12.75">
      <c r="B43" s="15" t="s">
        <v>221</v>
      </c>
      <c r="C43" s="16" t="s">
        <v>420</v>
      </c>
    </row>
    <row r="50" ht="12.75">
      <c r="B50" t="s">
        <v>149</v>
      </c>
    </row>
    <row r="52" spans="3:4" ht="12.75">
      <c r="C52" t="s">
        <v>89</v>
      </c>
      <c r="D52" s="3">
        <v>3333</v>
      </c>
    </row>
    <row r="53" spans="3:4" ht="12.75">
      <c r="C53" t="s">
        <v>150</v>
      </c>
      <c r="D53" s="1">
        <v>0.03</v>
      </c>
    </row>
    <row r="54" spans="3:4" ht="12.75">
      <c r="C54" t="s">
        <v>151</v>
      </c>
      <c r="D54" s="1">
        <v>0.2</v>
      </c>
    </row>
    <row r="55" spans="3:4" ht="12.75">
      <c r="C55" t="s">
        <v>152</v>
      </c>
      <c r="D55" s="2">
        <v>0.115</v>
      </c>
    </row>
    <row r="61" ht="12.75">
      <c r="E61" s="3"/>
    </row>
  </sheetData>
  <sheetProtection/>
  <printOptions/>
  <pageMargins left="0.5" right="0.5" top="1" bottom="1" header="0.5" footer="0.5"/>
  <pageSetup fitToHeight="1" fitToWidth="1" horizontalDpi="600" verticalDpi="600" orientation="landscape" scale="82" r:id="rId1"/>
</worksheet>
</file>

<file path=xl/worksheets/sheet4.xml><?xml version="1.0" encoding="utf-8"?>
<worksheet xmlns="http://schemas.openxmlformats.org/spreadsheetml/2006/main" xmlns:r="http://schemas.openxmlformats.org/officeDocument/2006/relationships">
  <dimension ref="A2:Q51"/>
  <sheetViews>
    <sheetView zoomScalePageLayoutView="0" workbookViewId="0" topLeftCell="A1">
      <selection activeCell="N33" sqref="N33"/>
    </sheetView>
  </sheetViews>
  <sheetFormatPr defaultColWidth="8.8515625" defaultRowHeight="12.75"/>
  <cols>
    <col min="1" max="1" width="3.00390625" style="45" customWidth="1"/>
    <col min="2" max="2" width="4.28125" style="45" customWidth="1"/>
    <col min="3" max="3" width="15.28125" style="45" customWidth="1"/>
    <col min="4" max="4" width="20.28125" style="45" customWidth="1"/>
    <col min="5" max="5" width="8.8515625" style="63" customWidth="1"/>
    <col min="6" max="6" width="8.8515625" style="45" customWidth="1"/>
    <col min="7" max="7" width="14.7109375" style="45" customWidth="1"/>
    <col min="8" max="8" width="3.00390625" style="45" customWidth="1"/>
    <col min="9" max="9" width="17.28125" style="45" customWidth="1"/>
    <col min="10" max="10" width="8.8515625" style="45" customWidth="1"/>
    <col min="11" max="11" width="13.421875" style="45" customWidth="1"/>
    <col min="12" max="12" width="3.00390625" style="45" customWidth="1"/>
    <col min="13" max="14" width="13.28125" style="45" customWidth="1"/>
    <col min="15" max="15" width="11.421875" style="45" customWidth="1"/>
    <col min="16" max="16" width="8.8515625" style="45" customWidth="1"/>
    <col min="17" max="17" width="3.00390625" style="45" customWidth="1"/>
    <col min="18" max="16384" width="8.8515625" style="45" customWidth="1"/>
  </cols>
  <sheetData>
    <row r="2" spans="1:17" ht="16.5" thickBot="1">
      <c r="A2" s="44"/>
      <c r="B2" s="42" t="s">
        <v>302</v>
      </c>
      <c r="C2" s="42"/>
      <c r="D2" s="43"/>
      <c r="E2" s="44"/>
      <c r="F2" s="43"/>
      <c r="G2" s="44"/>
      <c r="H2" s="44"/>
      <c r="I2" s="43"/>
      <c r="J2" s="43"/>
      <c r="K2" s="43"/>
      <c r="L2" s="44"/>
      <c r="M2" s="43"/>
      <c r="N2" s="43"/>
      <c r="O2" s="43"/>
      <c r="P2" s="43"/>
      <c r="Q2" s="44"/>
    </row>
    <row r="3" spans="1:17" ht="21.75" customHeight="1">
      <c r="A3" s="47"/>
      <c r="B3" s="46"/>
      <c r="C3" s="46"/>
      <c r="D3" s="46"/>
      <c r="E3" s="47"/>
      <c r="F3" s="46"/>
      <c r="G3" s="47"/>
      <c r="H3" s="47"/>
      <c r="I3" s="48" t="s">
        <v>29</v>
      </c>
      <c r="J3" s="49"/>
      <c r="K3" s="48"/>
      <c r="L3" s="47"/>
      <c r="M3" s="48" t="s">
        <v>178</v>
      </c>
      <c r="N3" s="48"/>
      <c r="O3" s="49"/>
      <c r="P3" s="49"/>
      <c r="Q3" s="47"/>
    </row>
    <row r="4" spans="1:17" ht="15" customHeight="1">
      <c r="A4" s="50"/>
      <c r="B4" s="50"/>
      <c r="C4" s="50" t="s">
        <v>30</v>
      </c>
      <c r="D4" s="50" t="s">
        <v>31</v>
      </c>
      <c r="E4" s="50" t="s">
        <v>32</v>
      </c>
      <c r="F4" s="50" t="s">
        <v>33</v>
      </c>
      <c r="G4" s="50" t="s">
        <v>64</v>
      </c>
      <c r="H4" s="50"/>
      <c r="I4" s="50" t="s">
        <v>34</v>
      </c>
      <c r="J4" s="50" t="s">
        <v>61</v>
      </c>
      <c r="K4" s="50" t="s">
        <v>35</v>
      </c>
      <c r="L4" s="50"/>
      <c r="M4" s="50" t="s">
        <v>178</v>
      </c>
      <c r="N4" s="50" t="s">
        <v>208</v>
      </c>
      <c r="O4" s="50" t="s">
        <v>150</v>
      </c>
      <c r="P4" s="50" t="s">
        <v>36</v>
      </c>
      <c r="Q4" s="50"/>
    </row>
    <row r="5" spans="1:17" ht="12" customHeight="1">
      <c r="A5" s="50"/>
      <c r="B5" s="50"/>
      <c r="C5" s="50"/>
      <c r="D5" s="50"/>
      <c r="E5" s="50"/>
      <c r="F5" s="50" t="s">
        <v>37</v>
      </c>
      <c r="G5" s="50" t="s">
        <v>63</v>
      </c>
      <c r="H5" s="50"/>
      <c r="I5" s="50" t="s">
        <v>39</v>
      </c>
      <c r="J5" s="50" t="s">
        <v>62</v>
      </c>
      <c r="K5" s="50" t="s">
        <v>38</v>
      </c>
      <c r="L5" s="50"/>
      <c r="M5" s="50" t="s">
        <v>62</v>
      </c>
      <c r="N5" s="50" t="s">
        <v>38</v>
      </c>
      <c r="O5" s="50" t="s">
        <v>62</v>
      </c>
      <c r="P5" s="50" t="s">
        <v>38</v>
      </c>
      <c r="Q5" s="50"/>
    </row>
    <row r="6" spans="1:17" ht="12" customHeight="1">
      <c r="A6" s="50"/>
      <c r="B6" s="51"/>
      <c r="C6" s="51" t="s">
        <v>153</v>
      </c>
      <c r="D6" s="51" t="s">
        <v>154</v>
      </c>
      <c r="E6" s="51" t="s">
        <v>155</v>
      </c>
      <c r="F6" s="51" t="s">
        <v>156</v>
      </c>
      <c r="G6" s="51" t="s">
        <v>157</v>
      </c>
      <c r="H6" s="50"/>
      <c r="I6" s="51" t="s">
        <v>158</v>
      </c>
      <c r="J6" s="51" t="s">
        <v>159</v>
      </c>
      <c r="K6" s="51" t="s">
        <v>210</v>
      </c>
      <c r="L6" s="50"/>
      <c r="M6" s="51" t="s">
        <v>211</v>
      </c>
      <c r="N6" s="51" t="s">
        <v>303</v>
      </c>
      <c r="O6" s="51" t="s">
        <v>212</v>
      </c>
      <c r="P6" s="51" t="s">
        <v>213</v>
      </c>
      <c r="Q6" s="50"/>
    </row>
    <row r="7" spans="1:17" ht="12.75">
      <c r="A7" s="52"/>
      <c r="B7" s="46"/>
      <c r="C7" s="46"/>
      <c r="D7" s="46"/>
      <c r="E7" s="47"/>
      <c r="F7" s="46"/>
      <c r="G7" s="52"/>
      <c r="H7" s="52"/>
      <c r="I7" s="53"/>
      <c r="J7" s="46"/>
      <c r="K7" s="53"/>
      <c r="L7" s="52"/>
      <c r="M7" s="53"/>
      <c r="N7" s="53"/>
      <c r="O7" s="54"/>
      <c r="P7" s="54"/>
      <c r="Q7" s="52"/>
    </row>
    <row r="8" spans="1:17" ht="12.75">
      <c r="A8" s="52"/>
      <c r="B8" s="46" t="s">
        <v>160</v>
      </c>
      <c r="C8" s="46" t="s">
        <v>40</v>
      </c>
      <c r="D8" s="46" t="s">
        <v>41</v>
      </c>
      <c r="E8" s="47" t="s">
        <v>42</v>
      </c>
      <c r="F8" s="67">
        <v>825</v>
      </c>
      <c r="G8" s="52">
        <v>2002</v>
      </c>
      <c r="H8" s="52"/>
      <c r="I8" s="55">
        <v>314.01315</v>
      </c>
      <c r="J8" s="52">
        <v>158</v>
      </c>
      <c r="K8" s="56">
        <f aca="true" t="shared" si="0" ref="K8:K13">I8*1000000/F8/J8</f>
        <v>2409</v>
      </c>
      <c r="L8" s="52"/>
      <c r="M8" s="65">
        <v>0.9</v>
      </c>
      <c r="N8" s="56">
        <f aca="true" t="shared" si="1" ref="N8:N13">M8*K8</f>
        <v>2168.1</v>
      </c>
      <c r="O8" s="57">
        <f>(1+'Ancillary Calculations'!$L$11)^5</f>
        <v>2.0000000000000004</v>
      </c>
      <c r="P8" s="56">
        <f aca="true" t="shared" si="2" ref="P8:P13">N8*O8</f>
        <v>4336.200000000001</v>
      </c>
      <c r="Q8" s="52"/>
    </row>
    <row r="9" spans="1:17" ht="12.75">
      <c r="A9" s="52"/>
      <c r="B9" s="46" t="s">
        <v>161</v>
      </c>
      <c r="C9" s="46" t="s">
        <v>43</v>
      </c>
      <c r="D9" s="46" t="s">
        <v>44</v>
      </c>
      <c r="E9" s="47" t="s">
        <v>45</v>
      </c>
      <c r="F9" s="67">
        <v>1180</v>
      </c>
      <c r="G9" s="52">
        <v>1994</v>
      </c>
      <c r="H9" s="52"/>
      <c r="I9" s="55">
        <v>525.38792</v>
      </c>
      <c r="J9" s="52">
        <v>158</v>
      </c>
      <c r="K9" s="56">
        <f t="shared" si="0"/>
        <v>2818</v>
      </c>
      <c r="L9" s="52"/>
      <c r="M9" s="65">
        <f>$M$8</f>
        <v>0.9</v>
      </c>
      <c r="N9" s="56">
        <f t="shared" si="1"/>
        <v>2536.2000000000003</v>
      </c>
      <c r="O9" s="57">
        <f>(1+'Ancillary Calculations'!$L$11)^5</f>
        <v>2.0000000000000004</v>
      </c>
      <c r="P9" s="56">
        <f t="shared" si="2"/>
        <v>5072.4000000000015</v>
      </c>
      <c r="Q9" s="52"/>
    </row>
    <row r="10" spans="1:17" ht="12.75">
      <c r="A10" s="47"/>
      <c r="B10" s="46" t="s">
        <v>162</v>
      </c>
      <c r="C10" s="46" t="s">
        <v>43</v>
      </c>
      <c r="D10" s="46" t="s">
        <v>46</v>
      </c>
      <c r="E10" s="47" t="s">
        <v>45</v>
      </c>
      <c r="F10" s="67">
        <v>1180</v>
      </c>
      <c r="G10" s="47">
        <v>1997</v>
      </c>
      <c r="H10" s="47"/>
      <c r="I10" s="55">
        <v>426.57472</v>
      </c>
      <c r="J10" s="52">
        <v>158</v>
      </c>
      <c r="K10" s="56">
        <f t="shared" si="0"/>
        <v>2288</v>
      </c>
      <c r="L10" s="47"/>
      <c r="M10" s="65">
        <f>$M$8</f>
        <v>0.9</v>
      </c>
      <c r="N10" s="56">
        <f t="shared" si="1"/>
        <v>2059.2000000000003</v>
      </c>
      <c r="O10" s="57">
        <f>(1+'Ancillary Calculations'!$L$11)^5</f>
        <v>2.0000000000000004</v>
      </c>
      <c r="P10" s="56">
        <f t="shared" si="2"/>
        <v>4118.4000000000015</v>
      </c>
      <c r="Q10" s="47"/>
    </row>
    <row r="11" spans="1:17" ht="12.75">
      <c r="A11" s="47"/>
      <c r="B11" s="46" t="s">
        <v>163</v>
      </c>
      <c r="C11" s="46" t="s">
        <v>47</v>
      </c>
      <c r="D11" s="46" t="s">
        <v>48</v>
      </c>
      <c r="E11" s="47" t="s">
        <v>49</v>
      </c>
      <c r="F11" s="67">
        <v>1356</v>
      </c>
      <c r="G11" s="47">
        <v>1996</v>
      </c>
      <c r="H11" s="47"/>
      <c r="I11" s="55">
        <v>432.78096</v>
      </c>
      <c r="J11" s="52">
        <v>158</v>
      </c>
      <c r="K11" s="56">
        <f t="shared" si="0"/>
        <v>2020</v>
      </c>
      <c r="L11" s="47"/>
      <c r="M11" s="65">
        <f>$M$8</f>
        <v>0.9</v>
      </c>
      <c r="N11" s="56">
        <f t="shared" si="1"/>
        <v>1818</v>
      </c>
      <c r="O11" s="57">
        <f>(1+'Ancillary Calculations'!$L$11)^5</f>
        <v>2.0000000000000004</v>
      </c>
      <c r="P11" s="56">
        <f t="shared" si="2"/>
        <v>3636.000000000001</v>
      </c>
      <c r="Q11" s="47"/>
    </row>
    <row r="12" spans="1:17" ht="12.75">
      <c r="A12" s="47"/>
      <c r="B12" s="46" t="s">
        <v>164</v>
      </c>
      <c r="C12" s="46" t="s">
        <v>47</v>
      </c>
      <c r="D12" s="46" t="s">
        <v>50</v>
      </c>
      <c r="E12" s="47" t="s">
        <v>49</v>
      </c>
      <c r="F12" s="67">
        <v>1356</v>
      </c>
      <c r="G12" s="47">
        <v>1997</v>
      </c>
      <c r="H12" s="47"/>
      <c r="I12" s="55">
        <v>383.50392</v>
      </c>
      <c r="J12" s="52">
        <v>158</v>
      </c>
      <c r="K12" s="56">
        <f t="shared" si="0"/>
        <v>1790</v>
      </c>
      <c r="L12" s="47"/>
      <c r="M12" s="65">
        <f>$M$8</f>
        <v>0.9</v>
      </c>
      <c r="N12" s="56">
        <f t="shared" si="1"/>
        <v>1611</v>
      </c>
      <c r="O12" s="57">
        <f>(1+'Ancillary Calculations'!$L$11)^5</f>
        <v>2.0000000000000004</v>
      </c>
      <c r="P12" s="56">
        <f t="shared" si="2"/>
        <v>3222.000000000001</v>
      </c>
      <c r="Q12" s="47"/>
    </row>
    <row r="13" spans="1:17" ht="12.75">
      <c r="A13" s="50"/>
      <c r="B13" s="46" t="s">
        <v>165</v>
      </c>
      <c r="C13" s="46" t="s">
        <v>51</v>
      </c>
      <c r="D13" s="46" t="s">
        <v>52</v>
      </c>
      <c r="E13" s="47" t="s">
        <v>45</v>
      </c>
      <c r="F13" s="67">
        <f>2*1000</f>
        <v>2000</v>
      </c>
      <c r="G13" s="64" t="s">
        <v>207</v>
      </c>
      <c r="H13" s="50"/>
      <c r="I13" s="55">
        <v>3988.2</v>
      </c>
      <c r="J13" s="52">
        <v>867</v>
      </c>
      <c r="K13" s="56">
        <f t="shared" si="0"/>
        <v>2300</v>
      </c>
      <c r="L13" s="50"/>
      <c r="M13" s="65">
        <f>1800/2300</f>
        <v>0.782608695652174</v>
      </c>
      <c r="N13" s="56">
        <f t="shared" si="1"/>
        <v>1800</v>
      </c>
      <c r="O13" s="57">
        <f>(1+'Ancillary Calculations'!$L$11)^5</f>
        <v>2.0000000000000004</v>
      </c>
      <c r="P13" s="56">
        <f t="shared" si="2"/>
        <v>3600.000000000001</v>
      </c>
      <c r="Q13" s="50"/>
    </row>
    <row r="14" spans="1:17" ht="13.5" thickBot="1">
      <c r="A14" s="59"/>
      <c r="B14" s="43"/>
      <c r="C14" s="43"/>
      <c r="D14" s="43"/>
      <c r="E14" s="44"/>
      <c r="F14" s="58"/>
      <c r="G14" s="59"/>
      <c r="H14" s="59"/>
      <c r="I14" s="60"/>
      <c r="J14" s="58"/>
      <c r="K14" s="60"/>
      <c r="L14" s="59"/>
      <c r="M14" s="58"/>
      <c r="N14" s="58"/>
      <c r="O14" s="60"/>
      <c r="P14" s="61"/>
      <c r="Q14" s="59"/>
    </row>
    <row r="15" spans="1:17" ht="12.75">
      <c r="A15" s="50"/>
      <c r="B15" s="46"/>
      <c r="C15" s="46"/>
      <c r="D15" s="46"/>
      <c r="E15" s="47"/>
      <c r="F15" s="53"/>
      <c r="G15" s="50"/>
      <c r="H15" s="50"/>
      <c r="I15" s="62"/>
      <c r="J15" s="53"/>
      <c r="K15" s="62"/>
      <c r="L15" s="50"/>
      <c r="M15" s="53"/>
      <c r="N15" s="53"/>
      <c r="O15" s="62"/>
      <c r="P15" s="54"/>
      <c r="Q15" s="50"/>
    </row>
    <row r="16" spans="1:17" ht="12.75">
      <c r="A16" s="50"/>
      <c r="B16" s="15" t="s">
        <v>177</v>
      </c>
      <c r="C16"/>
      <c r="D16" s="46"/>
      <c r="E16" s="47"/>
      <c r="F16" s="53"/>
      <c r="G16" s="50"/>
      <c r="H16" s="50"/>
      <c r="I16" s="62"/>
      <c r="J16" s="53"/>
      <c r="K16" s="62"/>
      <c r="L16" s="50"/>
      <c r="M16" s="53"/>
      <c r="N16" s="53"/>
      <c r="O16" s="62"/>
      <c r="P16" s="54"/>
      <c r="Q16" s="50"/>
    </row>
    <row r="17" spans="1:17" ht="12.75">
      <c r="A17" s="50"/>
      <c r="B17" s="15" t="s">
        <v>1</v>
      </c>
      <c r="C17"/>
      <c r="D17" s="46"/>
      <c r="E17" s="47"/>
      <c r="F17" s="53"/>
      <c r="G17" s="50"/>
      <c r="H17" s="50"/>
      <c r="I17" s="62"/>
      <c r="J17" s="53"/>
      <c r="K17" s="62"/>
      <c r="L17" s="50"/>
      <c r="M17" s="53"/>
      <c r="N17" s="53"/>
      <c r="O17" s="62"/>
      <c r="P17" s="54"/>
      <c r="Q17" s="50"/>
    </row>
    <row r="18" spans="1:17" ht="12.75">
      <c r="A18" s="50"/>
      <c r="B18" s="15" t="s">
        <v>210</v>
      </c>
      <c r="C18" s="16" t="s">
        <v>215</v>
      </c>
      <c r="D18" s="46"/>
      <c r="E18" s="47"/>
      <c r="F18" s="53"/>
      <c r="G18" s="50"/>
      <c r="H18" s="50"/>
      <c r="I18" s="62"/>
      <c r="J18" s="53"/>
      <c r="K18" s="62"/>
      <c r="L18" s="50"/>
      <c r="M18" s="53"/>
      <c r="N18" s="53"/>
      <c r="O18" s="62"/>
      <c r="P18" s="54"/>
      <c r="Q18" s="50"/>
    </row>
    <row r="19" spans="2:3" ht="12.75">
      <c r="B19" s="15" t="s">
        <v>211</v>
      </c>
      <c r="C19" s="15" t="s">
        <v>445</v>
      </c>
    </row>
    <row r="20" spans="2:3" ht="12.75">
      <c r="B20" s="15"/>
      <c r="C20" s="15" t="s">
        <v>446</v>
      </c>
    </row>
    <row r="21" spans="2:3" ht="12.75">
      <c r="B21" s="15" t="s">
        <v>303</v>
      </c>
      <c r="C21" s="16" t="s">
        <v>214</v>
      </c>
    </row>
    <row r="22" spans="2:3" ht="12.75">
      <c r="B22" s="15" t="s">
        <v>212</v>
      </c>
      <c r="C22" s="15" t="s">
        <v>305</v>
      </c>
    </row>
    <row r="23" spans="2:3" ht="12.75">
      <c r="B23" s="66" t="s">
        <v>213</v>
      </c>
      <c r="C23" s="16" t="s">
        <v>304</v>
      </c>
    </row>
    <row r="24" spans="2:3" ht="12.75">
      <c r="B24" s="66"/>
      <c r="C24" s="15"/>
    </row>
    <row r="25" spans="2:3" ht="12.75">
      <c r="B25" s="66"/>
      <c r="C25" s="15"/>
    </row>
    <row r="27" spans="1:17" ht="16.5" thickBot="1">
      <c r="A27" s="44"/>
      <c r="B27" s="42" t="s">
        <v>301</v>
      </c>
      <c r="C27" s="42"/>
      <c r="D27" s="43"/>
      <c r="E27" s="44"/>
      <c r="F27" s="43"/>
      <c r="G27" s="44"/>
      <c r="H27" s="44"/>
      <c r="I27" s="43"/>
      <c r="J27" s="43"/>
      <c r="K27" s="43"/>
      <c r="L27" s="44"/>
      <c r="M27" s="43"/>
      <c r="N27" s="43"/>
      <c r="O27" s="43"/>
      <c r="P27" s="43"/>
      <c r="Q27" s="44"/>
    </row>
    <row r="28" spans="1:17" ht="21.75" customHeight="1">
      <c r="A28" s="47"/>
      <c r="B28" s="46"/>
      <c r="C28" s="46"/>
      <c r="D28" s="46"/>
      <c r="E28" s="47"/>
      <c r="F28" s="46"/>
      <c r="G28" s="47"/>
      <c r="H28" s="47"/>
      <c r="I28" s="48" t="s">
        <v>29</v>
      </c>
      <c r="J28" s="49"/>
      <c r="K28" s="48"/>
      <c r="L28" s="47"/>
      <c r="M28" s="48" t="s">
        <v>178</v>
      </c>
      <c r="N28" s="48"/>
      <c r="O28" s="49"/>
      <c r="P28" s="49"/>
      <c r="Q28" s="47"/>
    </row>
    <row r="29" spans="1:17" ht="15" customHeight="1">
      <c r="A29" s="50"/>
      <c r="B29" s="50"/>
      <c r="C29" s="50" t="s">
        <v>30</v>
      </c>
      <c r="D29" s="50" t="s">
        <v>31</v>
      </c>
      <c r="E29" s="50" t="s">
        <v>32</v>
      </c>
      <c r="F29" s="50" t="s">
        <v>33</v>
      </c>
      <c r="G29" s="50" t="s">
        <v>64</v>
      </c>
      <c r="H29" s="50"/>
      <c r="I29" s="50" t="s">
        <v>34</v>
      </c>
      <c r="J29" s="50" t="s">
        <v>61</v>
      </c>
      <c r="K29" s="50" t="s">
        <v>35</v>
      </c>
      <c r="L29" s="50"/>
      <c r="M29" s="50" t="s">
        <v>178</v>
      </c>
      <c r="N29" s="50" t="s">
        <v>209</v>
      </c>
      <c r="O29" s="50" t="s">
        <v>150</v>
      </c>
      <c r="P29" s="50" t="s">
        <v>36</v>
      </c>
      <c r="Q29" s="50"/>
    </row>
    <row r="30" spans="1:17" ht="12.75">
      <c r="A30" s="50"/>
      <c r="B30" s="50"/>
      <c r="C30" s="50"/>
      <c r="D30" s="50"/>
      <c r="E30" s="50"/>
      <c r="F30" s="50" t="s">
        <v>37</v>
      </c>
      <c r="G30" s="50" t="s">
        <v>63</v>
      </c>
      <c r="H30" s="50"/>
      <c r="I30" s="50" t="s">
        <v>39</v>
      </c>
      <c r="J30" s="50" t="s">
        <v>62</v>
      </c>
      <c r="K30" s="50" t="s">
        <v>38</v>
      </c>
      <c r="L30" s="50"/>
      <c r="M30" s="50" t="s">
        <v>62</v>
      </c>
      <c r="N30" s="50" t="s">
        <v>38</v>
      </c>
      <c r="O30" s="50" t="s">
        <v>62</v>
      </c>
      <c r="P30" s="50" t="s">
        <v>38</v>
      </c>
      <c r="Q30" s="50"/>
    </row>
    <row r="31" spans="1:17" ht="12.75">
      <c r="A31" s="50"/>
      <c r="B31" s="51"/>
      <c r="C31" s="51" t="s">
        <v>153</v>
      </c>
      <c r="D31" s="51" t="s">
        <v>154</v>
      </c>
      <c r="E31" s="51" t="s">
        <v>155</v>
      </c>
      <c r="F31" s="51" t="s">
        <v>156</v>
      </c>
      <c r="G31" s="51" t="s">
        <v>157</v>
      </c>
      <c r="H31" s="50"/>
      <c r="I31" s="51" t="s">
        <v>158</v>
      </c>
      <c r="J31" s="51" t="s">
        <v>159</v>
      </c>
      <c r="K31" s="51" t="s">
        <v>210</v>
      </c>
      <c r="L31" s="50"/>
      <c r="M31" s="51" t="s">
        <v>211</v>
      </c>
      <c r="N31" s="51" t="s">
        <v>303</v>
      </c>
      <c r="O31" s="51" t="s">
        <v>212</v>
      </c>
      <c r="P31" s="51" t="s">
        <v>213</v>
      </c>
      <c r="Q31" s="50"/>
    </row>
    <row r="32" spans="1:17" ht="12.75">
      <c r="A32" s="52"/>
      <c r="B32" s="46"/>
      <c r="C32" s="46"/>
      <c r="D32" s="46"/>
      <c r="E32" s="47"/>
      <c r="F32" s="46"/>
      <c r="G32" s="52"/>
      <c r="H32" s="52"/>
      <c r="I32" s="53"/>
      <c r="J32" s="46"/>
      <c r="K32" s="53"/>
      <c r="L32" s="52"/>
      <c r="M32" s="53"/>
      <c r="N32" s="53"/>
      <c r="O32" s="54"/>
      <c r="P32" s="54"/>
      <c r="Q32" s="52"/>
    </row>
    <row r="33" spans="1:17" ht="12.75">
      <c r="A33" s="52"/>
      <c r="B33" s="46" t="s">
        <v>166</v>
      </c>
      <c r="C33" s="46" t="s">
        <v>53</v>
      </c>
      <c r="D33" s="46" t="s">
        <v>54</v>
      </c>
      <c r="E33" s="47" t="s">
        <v>49</v>
      </c>
      <c r="F33" s="67">
        <v>1325</v>
      </c>
      <c r="G33" s="52">
        <v>2004</v>
      </c>
      <c r="H33" s="52"/>
      <c r="I33" s="55">
        <v>360</v>
      </c>
      <c r="J33" s="52">
        <v>134.32648415876793</v>
      </c>
      <c r="K33" s="56">
        <f>I33*1000000/F33/J33</f>
        <v>2022.6697282303026</v>
      </c>
      <c r="L33" s="52"/>
      <c r="M33" s="65">
        <f>$M$8</f>
        <v>0.9</v>
      </c>
      <c r="N33" s="56">
        <f>K33*M33</f>
        <v>1820.4027554072723</v>
      </c>
      <c r="O33" s="57">
        <f>(1+'Ancillary Calculations'!$L$11)^(2007-G33)</f>
        <v>1.5157165665103984</v>
      </c>
      <c r="P33" s="56">
        <f>N33*O33</f>
        <v>2759.2146140919795</v>
      </c>
      <c r="Q33" s="52"/>
    </row>
    <row r="34" spans="1:17" ht="12.75">
      <c r="A34" s="52"/>
      <c r="B34" s="46" t="s">
        <v>167</v>
      </c>
      <c r="C34" s="46" t="s">
        <v>40</v>
      </c>
      <c r="D34" s="46" t="s">
        <v>55</v>
      </c>
      <c r="E34" s="47" t="s">
        <v>42</v>
      </c>
      <c r="F34" s="67">
        <v>1067</v>
      </c>
      <c r="G34" s="52">
        <v>2005</v>
      </c>
      <c r="H34" s="52"/>
      <c r="I34" s="55">
        <v>390</v>
      </c>
      <c r="J34" s="52">
        <v>129.5519548327785</v>
      </c>
      <c r="K34" s="56">
        <f>I34*1000000/F34/J34</f>
        <v>2821.3451379695616</v>
      </c>
      <c r="L34" s="52"/>
      <c r="M34" s="65">
        <f>$M$8</f>
        <v>0.9</v>
      </c>
      <c r="N34" s="56">
        <f>K34*M34</f>
        <v>2539.2106241726055</v>
      </c>
      <c r="O34" s="57">
        <f>(1+'Ancillary Calculations'!$L$11)^(2007-G34)</f>
        <v>1.3195079107728944</v>
      </c>
      <c r="P34" s="56">
        <f>N34*O34</f>
        <v>3350.508505714332</v>
      </c>
      <c r="Q34" s="52"/>
    </row>
    <row r="35" spans="1:17" ht="12.75">
      <c r="A35" s="47"/>
      <c r="B35" s="46" t="s">
        <v>168</v>
      </c>
      <c r="C35" s="46" t="s">
        <v>56</v>
      </c>
      <c r="D35" s="46" t="s">
        <v>57</v>
      </c>
      <c r="E35" s="47" t="s">
        <v>49</v>
      </c>
      <c r="F35" s="67">
        <v>1304</v>
      </c>
      <c r="G35" s="47">
        <v>2006</v>
      </c>
      <c r="H35" s="47"/>
      <c r="I35" s="55">
        <v>370</v>
      </c>
      <c r="J35" s="52">
        <v>124.46456136814383</v>
      </c>
      <c r="K35" s="56">
        <f>I35*1000000/F35/J35</f>
        <v>2279.703782099747</v>
      </c>
      <c r="L35" s="47"/>
      <c r="M35" s="65">
        <f>$M$8</f>
        <v>0.9</v>
      </c>
      <c r="N35" s="56">
        <f>K35*M35</f>
        <v>2051.7334038897725</v>
      </c>
      <c r="O35" s="57">
        <f>(1+'Ancillary Calculations'!$L$11)^(2007-G35)</f>
        <v>1.148698354997035</v>
      </c>
      <c r="P35" s="56">
        <f>N35*O35</f>
        <v>2356.8227859406493</v>
      </c>
      <c r="Q35" s="47"/>
    </row>
    <row r="36" spans="1:17" ht="12.75">
      <c r="A36" s="47"/>
      <c r="B36" s="46" t="s">
        <v>169</v>
      </c>
      <c r="C36" s="46" t="s">
        <v>51</v>
      </c>
      <c r="D36" s="46" t="s">
        <v>58</v>
      </c>
      <c r="E36" s="47" t="s">
        <v>59</v>
      </c>
      <c r="F36" s="67">
        <v>995</v>
      </c>
      <c r="G36" s="47">
        <v>2004</v>
      </c>
      <c r="H36" s="47"/>
      <c r="I36" s="55">
        <f>4470*F36/(F36+F37)</f>
        <v>2236.1236802413273</v>
      </c>
      <c r="J36" s="52">
        <v>794.1547354022969</v>
      </c>
      <c r="K36" s="56">
        <f>I36*1000000/F36/J36</f>
        <v>2829.8773305382983</v>
      </c>
      <c r="L36" s="47"/>
      <c r="M36" s="65">
        <f>$M$13</f>
        <v>0.782608695652174</v>
      </c>
      <c r="N36" s="56">
        <f>K36*M36</f>
        <v>2214.6866065082336</v>
      </c>
      <c r="O36" s="57">
        <f>(1+'Ancillary Calculations'!$L$11)^(2007-G36)</f>
        <v>1.5157165665103984</v>
      </c>
      <c r="P36" s="56">
        <f>N36*O36</f>
        <v>3356.837179113226</v>
      </c>
      <c r="Q36" s="47"/>
    </row>
    <row r="37" spans="1:17" ht="12.75">
      <c r="A37" s="50"/>
      <c r="B37" s="46" t="s">
        <v>170</v>
      </c>
      <c r="C37" s="46" t="s">
        <v>51</v>
      </c>
      <c r="D37" s="46" t="s">
        <v>60</v>
      </c>
      <c r="E37" s="47" t="s">
        <v>59</v>
      </c>
      <c r="F37" s="67">
        <v>994</v>
      </c>
      <c r="G37" s="50">
        <v>2005</v>
      </c>
      <c r="H37" s="50"/>
      <c r="I37" s="55">
        <f>4470*F37/(F36+F37)</f>
        <v>2233.8763197586727</v>
      </c>
      <c r="J37" s="52">
        <v>788.9201347633324</v>
      </c>
      <c r="K37" s="56">
        <f>I37*1000000/F37/J37</f>
        <v>2848.6539810886998</v>
      </c>
      <c r="L37" s="50"/>
      <c r="M37" s="65">
        <f>$M$13</f>
        <v>0.782608695652174</v>
      </c>
      <c r="N37" s="56">
        <f>K37*M37</f>
        <v>2229.3813765042</v>
      </c>
      <c r="O37" s="57">
        <f>(1+'Ancillary Calculations'!$L$11)^(2007-G37)</f>
        <v>1.3195079107728944</v>
      </c>
      <c r="P37" s="56">
        <f>N37*O37</f>
        <v>2941.6863624270563</v>
      </c>
      <c r="Q37" s="50"/>
    </row>
    <row r="38" spans="1:17" ht="13.5" thickBot="1">
      <c r="A38" s="59"/>
      <c r="B38" s="43"/>
      <c r="C38" s="43"/>
      <c r="D38" s="43"/>
      <c r="E38" s="44"/>
      <c r="F38" s="58"/>
      <c r="G38" s="59"/>
      <c r="H38" s="59"/>
      <c r="I38" s="60"/>
      <c r="J38" s="58"/>
      <c r="K38" s="60"/>
      <c r="L38" s="59"/>
      <c r="M38" s="58"/>
      <c r="N38" s="58"/>
      <c r="O38" s="60"/>
      <c r="P38" s="61"/>
      <c r="Q38" s="59"/>
    </row>
    <row r="39" spans="1:17" ht="12.75">
      <c r="A39" s="50"/>
      <c r="B39" s="46"/>
      <c r="C39" s="46"/>
      <c r="D39" s="46"/>
      <c r="E39" s="47"/>
      <c r="F39" s="53"/>
      <c r="G39" s="50"/>
      <c r="H39" s="50"/>
      <c r="I39" s="62"/>
      <c r="J39" s="53"/>
      <c r="K39" s="62"/>
      <c r="L39" s="50"/>
      <c r="M39" s="53"/>
      <c r="N39" s="53"/>
      <c r="O39" s="62"/>
      <c r="P39" s="54"/>
      <c r="Q39" s="50"/>
    </row>
    <row r="40" spans="2:3" ht="12.75">
      <c r="B40" s="15" t="s">
        <v>177</v>
      </c>
      <c r="C40"/>
    </row>
    <row r="41" spans="2:3" ht="12.75">
      <c r="B41" s="15" t="s">
        <v>179</v>
      </c>
      <c r="C41"/>
    </row>
    <row r="42" spans="2:3" ht="12.75">
      <c r="B42" s="15"/>
      <c r="C42" s="15" t="s">
        <v>180</v>
      </c>
    </row>
    <row r="43" spans="2:3" ht="12.75">
      <c r="B43" s="15"/>
      <c r="C43" s="15" t="s">
        <v>293</v>
      </c>
    </row>
    <row r="44" spans="2:3" ht="12.75">
      <c r="B44" s="15"/>
      <c r="C44" s="15" t="s">
        <v>294</v>
      </c>
    </row>
    <row r="45" spans="2:3" ht="12.75">
      <c r="B45" s="15"/>
      <c r="C45" s="15" t="s">
        <v>320</v>
      </c>
    </row>
    <row r="46" spans="2:3" ht="12.75">
      <c r="B46" s="15" t="s">
        <v>159</v>
      </c>
      <c r="C46" s="15" t="s">
        <v>181</v>
      </c>
    </row>
    <row r="47" spans="2:3" ht="12.75">
      <c r="B47" s="15" t="s">
        <v>210</v>
      </c>
      <c r="C47" s="16" t="s">
        <v>215</v>
      </c>
    </row>
    <row r="48" spans="2:3" ht="12.75">
      <c r="B48" s="15" t="s">
        <v>211</v>
      </c>
      <c r="C48" s="15" t="s">
        <v>447</v>
      </c>
    </row>
    <row r="49" spans="2:3" ht="12.75">
      <c r="B49" s="15" t="s">
        <v>303</v>
      </c>
      <c r="C49" s="16" t="s">
        <v>214</v>
      </c>
    </row>
    <row r="50" spans="2:3" ht="12.75">
      <c r="B50" s="15" t="s">
        <v>212</v>
      </c>
      <c r="C50" s="15" t="s">
        <v>305</v>
      </c>
    </row>
    <row r="51" spans="2:3" ht="12.75">
      <c r="B51" s="66" t="s">
        <v>213</v>
      </c>
      <c r="C51" s="16" t="s">
        <v>304</v>
      </c>
    </row>
  </sheetData>
  <sheetProtection/>
  <printOptions horizontalCentered="1" verticalCentered="1"/>
  <pageMargins left="0" right="0" top="0.75" bottom="0.25" header="0.5" footer="0.5"/>
  <pageSetup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3:K45"/>
  <sheetViews>
    <sheetView zoomScalePageLayoutView="0" workbookViewId="0" topLeftCell="A1">
      <selection activeCell="I11" sqref="I11"/>
    </sheetView>
  </sheetViews>
  <sheetFormatPr defaultColWidth="9.140625" defaultRowHeight="12.75"/>
  <cols>
    <col min="1" max="1" width="2.8515625" style="37" customWidth="1"/>
    <col min="2" max="2" width="4.28125" style="45" customWidth="1"/>
    <col min="3" max="3" width="20.28125" style="45" customWidth="1"/>
    <col min="4" max="4" width="19.140625" style="45" customWidth="1"/>
    <col min="5" max="5" width="8.421875" style="63" customWidth="1"/>
    <col min="6" max="6" width="9.140625" style="45" customWidth="1"/>
    <col min="7" max="7" width="13.421875" style="63" customWidth="1"/>
    <col min="8" max="8" width="2.28125" style="63" customWidth="1"/>
    <col min="9" max="9" width="12.8515625" style="45" customWidth="1"/>
    <col min="10" max="10" width="2.28125" style="63" customWidth="1"/>
    <col min="11" max="11" width="9.140625" style="45" customWidth="1"/>
    <col min="12" max="12" width="9.28125" style="45" bestFit="1" customWidth="1"/>
    <col min="13" max="13" width="9.421875" style="45" bestFit="1" customWidth="1"/>
    <col min="14" max="16384" width="9.140625" style="45" customWidth="1"/>
  </cols>
  <sheetData>
    <row r="3" spans="1:10" ht="16.5" thickBot="1">
      <c r="A3" s="9"/>
      <c r="B3" s="42" t="s">
        <v>306</v>
      </c>
      <c r="C3" s="42"/>
      <c r="D3" s="43"/>
      <c r="E3" s="44"/>
      <c r="F3" s="43"/>
      <c r="G3" s="44"/>
      <c r="H3" s="44"/>
      <c r="I3" s="43"/>
      <c r="J3" s="44"/>
    </row>
    <row r="4" spans="1:11" s="68" customFormat="1" ht="40.5" customHeight="1">
      <c r="A4" s="17"/>
      <c r="B4" s="50"/>
      <c r="C4" s="50" t="s">
        <v>30</v>
      </c>
      <c r="D4" s="50" t="s">
        <v>31</v>
      </c>
      <c r="E4" s="50" t="s">
        <v>32</v>
      </c>
      <c r="F4" s="50" t="s">
        <v>33</v>
      </c>
      <c r="G4" s="50" t="s">
        <v>184</v>
      </c>
      <c r="H4" s="50"/>
      <c r="I4" s="182" t="s">
        <v>503</v>
      </c>
      <c r="J4" s="50"/>
      <c r="K4" s="50"/>
    </row>
    <row r="5" spans="1:11" s="68" customFormat="1" ht="12.75">
      <c r="A5" s="37"/>
      <c r="B5" s="50"/>
      <c r="C5" s="50"/>
      <c r="D5" s="50"/>
      <c r="E5" s="50"/>
      <c r="F5" s="50" t="s">
        <v>37</v>
      </c>
      <c r="G5" s="50"/>
      <c r="H5" s="50"/>
      <c r="I5" s="182" t="s">
        <v>502</v>
      </c>
      <c r="J5" s="50"/>
      <c r="K5" s="50"/>
    </row>
    <row r="6" spans="1:11" s="68" customFormat="1" ht="12.75">
      <c r="A6" s="37"/>
      <c r="B6" s="51"/>
      <c r="C6" s="51" t="s">
        <v>153</v>
      </c>
      <c r="D6" s="51" t="s">
        <v>154</v>
      </c>
      <c r="E6" s="51" t="s">
        <v>155</v>
      </c>
      <c r="F6" s="51" t="s">
        <v>156</v>
      </c>
      <c r="G6" s="51" t="s">
        <v>157</v>
      </c>
      <c r="H6" s="50"/>
      <c r="I6" s="51" t="s">
        <v>158</v>
      </c>
      <c r="J6" s="50"/>
      <c r="K6" s="50"/>
    </row>
    <row r="7" spans="2:11" ht="12.75">
      <c r="B7" s="46"/>
      <c r="C7" s="46"/>
      <c r="D7" s="46"/>
      <c r="E7" s="47"/>
      <c r="F7" s="46"/>
      <c r="G7" s="52"/>
      <c r="H7" s="52"/>
      <c r="I7" s="53"/>
      <c r="J7" s="52"/>
      <c r="K7" s="53"/>
    </row>
    <row r="8" spans="2:11" ht="12.75">
      <c r="B8" s="46" t="s">
        <v>160</v>
      </c>
      <c r="C8" s="46" t="s">
        <v>65</v>
      </c>
      <c r="D8" s="46" t="s">
        <v>66</v>
      </c>
      <c r="E8" s="47" t="s">
        <v>49</v>
      </c>
      <c r="F8" s="67">
        <v>1371</v>
      </c>
      <c r="G8" s="52" t="s">
        <v>182</v>
      </c>
      <c r="H8" s="52"/>
      <c r="I8" s="67">
        <f>1611*1.2*(1+escalnuc)^3</f>
        <v>2930.183266377902</v>
      </c>
      <c r="J8" s="52"/>
      <c r="K8" s="53"/>
    </row>
    <row r="9" spans="2:11" ht="12.75">
      <c r="B9" s="46" t="s">
        <v>161</v>
      </c>
      <c r="C9" s="46" t="s">
        <v>67</v>
      </c>
      <c r="D9" s="46" t="s">
        <v>68</v>
      </c>
      <c r="E9" s="47" t="s">
        <v>69</v>
      </c>
      <c r="F9" s="67">
        <f>1520*2</f>
        <v>3040</v>
      </c>
      <c r="G9" s="52" t="s">
        <v>183</v>
      </c>
      <c r="H9" s="52"/>
      <c r="I9" s="67">
        <v>3530</v>
      </c>
      <c r="J9" s="52"/>
      <c r="K9" s="69"/>
    </row>
    <row r="10" spans="2:11" ht="12.75">
      <c r="B10" s="46" t="s">
        <v>162</v>
      </c>
      <c r="C10" s="46" t="s">
        <v>80</v>
      </c>
      <c r="D10" s="46" t="s">
        <v>81</v>
      </c>
      <c r="E10" s="47" t="s">
        <v>82</v>
      </c>
      <c r="F10" s="67">
        <f>(1092+1120)</f>
        <v>2212</v>
      </c>
      <c r="G10" s="52" t="s">
        <v>185</v>
      </c>
      <c r="H10" s="52"/>
      <c r="I10" s="67">
        <f>9303579/F10</f>
        <v>4205.957956600361</v>
      </c>
      <c r="J10" s="52"/>
      <c r="K10" s="69"/>
    </row>
    <row r="11" spans="2:11" ht="12.75">
      <c r="B11" s="46" t="s">
        <v>163</v>
      </c>
      <c r="C11" s="46" t="s">
        <v>85</v>
      </c>
      <c r="D11" s="46" t="s">
        <v>86</v>
      </c>
      <c r="E11" s="47" t="s">
        <v>82</v>
      </c>
      <c r="F11" s="67">
        <v>2234</v>
      </c>
      <c r="G11" s="52" t="s">
        <v>186</v>
      </c>
      <c r="H11" s="47"/>
      <c r="I11" s="67">
        <f>8459184/F11</f>
        <v>3786.5640107430618</v>
      </c>
      <c r="J11" s="47"/>
      <c r="K11" s="53"/>
    </row>
    <row r="12" spans="2:11" ht="12.75">
      <c r="B12" s="46" t="s">
        <v>164</v>
      </c>
      <c r="C12" s="46" t="s">
        <v>83</v>
      </c>
      <c r="D12" s="46" t="s">
        <v>84</v>
      </c>
      <c r="E12" s="47" t="s">
        <v>82</v>
      </c>
      <c r="F12" s="67">
        <v>2200</v>
      </c>
      <c r="G12" s="52" t="s">
        <v>185</v>
      </c>
      <c r="H12" s="52"/>
      <c r="I12" s="67">
        <f>10439344/2200</f>
        <v>4745.1563636363635</v>
      </c>
      <c r="J12" s="52"/>
      <c r="K12" s="69"/>
    </row>
    <row r="13" spans="2:11" ht="12.75">
      <c r="B13" s="46" t="s">
        <v>165</v>
      </c>
      <c r="C13" s="46" t="s">
        <v>70</v>
      </c>
      <c r="D13" s="46" t="s">
        <v>71</v>
      </c>
      <c r="E13" s="47" t="s">
        <v>49</v>
      </c>
      <c r="F13" s="67">
        <f>1350*2</f>
        <v>2700</v>
      </c>
      <c r="G13" s="52" t="s">
        <v>79</v>
      </c>
      <c r="H13" s="52"/>
      <c r="I13" s="67">
        <f>2900*1.2</f>
        <v>3480</v>
      </c>
      <c r="J13" s="52"/>
      <c r="K13" s="53"/>
    </row>
    <row r="14" spans="1:11" ht="13.5" thickBot="1">
      <c r="A14" s="9"/>
      <c r="B14" s="43"/>
      <c r="C14" s="43"/>
      <c r="D14" s="43"/>
      <c r="E14" s="44"/>
      <c r="F14" s="58"/>
      <c r="G14" s="59"/>
      <c r="H14" s="59"/>
      <c r="I14" s="60"/>
      <c r="J14" s="59"/>
      <c r="K14" s="53"/>
    </row>
    <row r="15" spans="2:11" ht="12.75">
      <c r="B15" s="46"/>
      <c r="C15" s="46"/>
      <c r="D15" s="46"/>
      <c r="E15" s="47"/>
      <c r="F15" s="53"/>
      <c r="G15" s="50"/>
      <c r="H15" s="50"/>
      <c r="I15" s="53"/>
      <c r="J15" s="50"/>
      <c r="K15" s="53"/>
    </row>
    <row r="16" spans="1:10" s="46" customFormat="1" ht="12.75">
      <c r="A16" s="37"/>
      <c r="B16" s="15" t="s">
        <v>224</v>
      </c>
      <c r="C16"/>
      <c r="E16" s="47"/>
      <c r="G16" s="47"/>
      <c r="H16" s="47"/>
      <c r="J16" s="47"/>
    </row>
    <row r="17" spans="1:10" s="46" customFormat="1" ht="12.75">
      <c r="A17" s="37"/>
      <c r="B17" s="15" t="s">
        <v>160</v>
      </c>
      <c r="C17" s="15" t="s">
        <v>508</v>
      </c>
      <c r="E17" s="47"/>
      <c r="G17" s="47"/>
      <c r="H17" s="47"/>
      <c r="J17" s="47"/>
    </row>
    <row r="18" spans="2:3" ht="12.75">
      <c r="B18" s="15" t="s">
        <v>161</v>
      </c>
      <c r="C18" s="15" t="s">
        <v>510</v>
      </c>
    </row>
    <row r="19" spans="2:3" ht="12.75">
      <c r="B19" s="15"/>
      <c r="C19" s="15" t="s">
        <v>519</v>
      </c>
    </row>
    <row r="20" spans="2:3" ht="12.75">
      <c r="B20" s="15"/>
      <c r="C20" s="15" t="s">
        <v>520</v>
      </c>
    </row>
    <row r="21" spans="2:3" ht="12.75">
      <c r="B21" s="15"/>
      <c r="C21" s="15" t="s">
        <v>521</v>
      </c>
    </row>
    <row r="22" spans="2:3" ht="12.75">
      <c r="B22" s="15" t="s">
        <v>162</v>
      </c>
      <c r="C22" s="15" t="s">
        <v>222</v>
      </c>
    </row>
    <row r="23" spans="2:3" ht="12.75">
      <c r="B23" s="15" t="s">
        <v>163</v>
      </c>
      <c r="C23" s="15" t="s">
        <v>512</v>
      </c>
    </row>
    <row r="24" spans="2:3" ht="12.75">
      <c r="B24" s="15" t="s">
        <v>164</v>
      </c>
      <c r="C24" s="15" t="s">
        <v>513</v>
      </c>
    </row>
    <row r="25" spans="2:3" ht="12.75">
      <c r="B25" s="66" t="s">
        <v>165</v>
      </c>
      <c r="C25" s="15" t="s">
        <v>223</v>
      </c>
    </row>
    <row r="27" ht="12.75">
      <c r="B27" s="15" t="s">
        <v>216</v>
      </c>
    </row>
    <row r="28" spans="2:3" ht="12.75">
      <c r="B28" s="15" t="s">
        <v>160</v>
      </c>
      <c r="C28" s="15" t="s">
        <v>516</v>
      </c>
    </row>
    <row r="29" spans="2:3" ht="12.75">
      <c r="B29" s="15"/>
      <c r="C29" s="15" t="s">
        <v>437</v>
      </c>
    </row>
    <row r="30" spans="2:3" ht="12.75">
      <c r="B30" s="15" t="s">
        <v>161</v>
      </c>
      <c r="C30" s="15" t="s">
        <v>509</v>
      </c>
    </row>
    <row r="31" spans="2:3" ht="12.75">
      <c r="B31" s="15"/>
      <c r="C31" s="15" t="s">
        <v>201</v>
      </c>
    </row>
    <row r="32" spans="2:3" ht="12.75">
      <c r="B32" s="15" t="s">
        <v>162</v>
      </c>
      <c r="C32" s="15" t="s">
        <v>511</v>
      </c>
    </row>
    <row r="33" spans="2:3" ht="12.75">
      <c r="B33" s="15"/>
      <c r="C33" s="15" t="s">
        <v>203</v>
      </c>
    </row>
    <row r="34" spans="2:3" ht="12.75">
      <c r="B34" s="15"/>
      <c r="C34" s="15" t="s">
        <v>202</v>
      </c>
    </row>
    <row r="35" spans="2:3" ht="12.75">
      <c r="B35" s="15" t="s">
        <v>163</v>
      </c>
      <c r="C35" s="15" t="s">
        <v>522</v>
      </c>
    </row>
    <row r="36" spans="2:3" ht="12.75">
      <c r="B36" s="15"/>
      <c r="C36" s="15" t="s">
        <v>523</v>
      </c>
    </row>
    <row r="37" spans="2:3" ht="12.75">
      <c r="B37" s="15"/>
      <c r="C37" s="15" t="s">
        <v>524</v>
      </c>
    </row>
    <row r="38" spans="2:3" ht="12.75">
      <c r="B38" s="15"/>
      <c r="C38" s="16" t="s">
        <v>525</v>
      </c>
    </row>
    <row r="39" spans="2:3" ht="12.75">
      <c r="B39" s="15" t="s">
        <v>164</v>
      </c>
      <c r="C39" s="15" t="s">
        <v>515</v>
      </c>
    </row>
    <row r="40" spans="2:3" ht="12.75">
      <c r="B40" s="15"/>
      <c r="C40" s="15" t="s">
        <v>514</v>
      </c>
    </row>
    <row r="41" spans="2:3" ht="12.75">
      <c r="B41" s="15"/>
      <c r="C41" s="15" t="s">
        <v>204</v>
      </c>
    </row>
    <row r="42" spans="2:3" ht="12.75">
      <c r="B42" s="15"/>
      <c r="C42" s="15" t="s">
        <v>259</v>
      </c>
    </row>
    <row r="43" spans="2:3" ht="12.75">
      <c r="B43" s="15"/>
      <c r="C43" s="16" t="s">
        <v>526</v>
      </c>
    </row>
    <row r="44" spans="2:3" ht="12.75">
      <c r="B44" s="66" t="s">
        <v>165</v>
      </c>
      <c r="C44" s="16" t="s">
        <v>205</v>
      </c>
    </row>
    <row r="45" ht="12.75">
      <c r="B45" s="66"/>
    </row>
  </sheetData>
  <sheetProtection/>
  <printOptions horizontalCentered="1" verticalCentered="1"/>
  <pageMargins left="0.75" right="0.75" top="1" bottom="1" header="0.5" footer="0.5"/>
  <pageSetup fitToHeight="1" fitToWidth="1" horizontalDpi="600" verticalDpi="600" orientation="landscape" scale="83" r:id="rId1"/>
</worksheet>
</file>

<file path=xl/worksheets/sheet6.xml><?xml version="1.0" encoding="utf-8"?>
<worksheet xmlns="http://schemas.openxmlformats.org/spreadsheetml/2006/main" xmlns:r="http://schemas.openxmlformats.org/officeDocument/2006/relationships">
  <dimension ref="A3:V108"/>
  <sheetViews>
    <sheetView zoomScalePageLayoutView="0" workbookViewId="0" topLeftCell="A1">
      <selection activeCell="G15" sqref="G15"/>
    </sheetView>
  </sheetViews>
  <sheetFormatPr defaultColWidth="8.8515625" defaultRowHeight="12.75"/>
  <cols>
    <col min="1" max="1" width="2.8515625" style="37" customWidth="1"/>
    <col min="2" max="2" width="4.8515625" style="45" customWidth="1"/>
    <col min="3" max="3" width="3.8515625" style="0" customWidth="1"/>
    <col min="4" max="4" width="19.7109375" style="0" customWidth="1"/>
    <col min="6" max="6" width="7.8515625" style="0" customWidth="1"/>
    <col min="7" max="7" width="8.421875" style="0" customWidth="1"/>
    <col min="9" max="9" width="9.28125" style="0" customWidth="1"/>
    <col min="11" max="11" width="9.57421875" style="0" customWidth="1"/>
    <col min="12" max="12" width="4.28125" style="0" customWidth="1"/>
    <col min="13" max="13" width="4.421875" style="0" customWidth="1"/>
    <col min="19" max="19" width="12.7109375" style="0" bestFit="1" customWidth="1"/>
  </cols>
  <sheetData>
    <row r="3" spans="1:14" s="19" customFormat="1" ht="16.5" thickBot="1">
      <c r="A3" s="9"/>
      <c r="B3" s="42" t="s">
        <v>307</v>
      </c>
      <c r="C3" s="75"/>
      <c r="D3" s="75"/>
      <c r="E3" s="75"/>
      <c r="F3" s="75"/>
      <c r="G3" s="75"/>
      <c r="H3" s="75"/>
      <c r="I3" s="75"/>
      <c r="J3" s="75"/>
      <c r="K3" s="75"/>
      <c r="L3" s="75"/>
      <c r="M3" s="75"/>
      <c r="N3" s="75"/>
    </row>
    <row r="4" spans="1:2" s="19" customFormat="1" ht="15.75">
      <c r="A4" s="37"/>
      <c r="B4" s="74"/>
    </row>
    <row r="5" spans="1:11" s="19" customFormat="1" ht="15.75">
      <c r="A5" s="37"/>
      <c r="B5" s="74"/>
      <c r="C5" s="119" t="s">
        <v>220</v>
      </c>
      <c r="E5" s="19" t="s">
        <v>260</v>
      </c>
      <c r="G5" s="19" t="s">
        <v>141</v>
      </c>
      <c r="I5" s="19" t="s">
        <v>142</v>
      </c>
      <c r="K5" s="19" t="s">
        <v>321</v>
      </c>
    </row>
    <row r="6" spans="1:11" s="19" customFormat="1" ht="15.75">
      <c r="A6" s="37"/>
      <c r="B6" s="74"/>
      <c r="G6" s="19" t="s">
        <v>153</v>
      </c>
      <c r="I6" s="19" t="s">
        <v>154</v>
      </c>
      <c r="K6" s="19" t="s">
        <v>155</v>
      </c>
    </row>
    <row r="7" spans="1:2" ht="12.75">
      <c r="A7" s="17"/>
      <c r="B7" s="50"/>
    </row>
    <row r="8" spans="2:11" ht="12.75">
      <c r="B8" s="46" t="s">
        <v>160</v>
      </c>
      <c r="C8" t="s">
        <v>33</v>
      </c>
      <c r="E8" t="s">
        <v>37</v>
      </c>
      <c r="G8" s="6">
        <v>1000</v>
      </c>
      <c r="I8" s="6">
        <v>1000</v>
      </c>
      <c r="K8" s="6">
        <v>1000</v>
      </c>
    </row>
    <row r="9" spans="2:11" ht="12.75">
      <c r="B9" s="46" t="s">
        <v>161</v>
      </c>
      <c r="C9" t="s">
        <v>76</v>
      </c>
      <c r="G9" s="112">
        <v>0.85</v>
      </c>
      <c r="I9" s="112">
        <v>0.85</v>
      </c>
      <c r="K9" s="112">
        <v>0.85</v>
      </c>
    </row>
    <row r="10" spans="2:11" ht="12.75">
      <c r="B10" s="46" t="s">
        <v>162</v>
      </c>
      <c r="C10" t="s">
        <v>269</v>
      </c>
      <c r="E10" t="s">
        <v>271</v>
      </c>
      <c r="G10" s="6">
        <v>10400</v>
      </c>
      <c r="I10" s="6">
        <v>8870</v>
      </c>
      <c r="K10" s="6">
        <v>6800</v>
      </c>
    </row>
    <row r="11" spans="2:11" ht="12.75">
      <c r="B11" s="46" t="s">
        <v>163</v>
      </c>
      <c r="C11" t="s">
        <v>178</v>
      </c>
      <c r="E11" t="s">
        <v>38</v>
      </c>
      <c r="G11" s="113">
        <v>4000</v>
      </c>
      <c r="I11" s="113">
        <v>2300</v>
      </c>
      <c r="K11" s="113">
        <v>850</v>
      </c>
    </row>
    <row r="12" spans="2:11" ht="12.75">
      <c r="B12" s="46" t="s">
        <v>164</v>
      </c>
      <c r="C12" t="s">
        <v>268</v>
      </c>
      <c r="E12" t="s">
        <v>261</v>
      </c>
      <c r="G12" s="5">
        <f>(20/2000)*4000</f>
        <v>40</v>
      </c>
      <c r="I12" s="114">
        <f>(15/1300)*I11</f>
        <v>26.53846153846154</v>
      </c>
      <c r="K12" s="114">
        <f>(6/500)*K11</f>
        <v>10.200000000000001</v>
      </c>
    </row>
    <row r="13" spans="2:11" ht="12.75">
      <c r="B13" s="46" t="s">
        <v>165</v>
      </c>
      <c r="C13" t="s">
        <v>267</v>
      </c>
      <c r="E13" t="s">
        <v>261</v>
      </c>
      <c r="G13" s="114">
        <f>costOMfixnucEIA</f>
        <v>56.4375</v>
      </c>
      <c r="I13" s="114">
        <f>costOMfixcoalEIA</f>
        <v>24.30188679245283</v>
      </c>
      <c r="K13" s="114">
        <f>costOMfixgasEIA</f>
        <v>12.64516129032258</v>
      </c>
    </row>
    <row r="14" spans="2:11" ht="12.75">
      <c r="B14" s="46" t="s">
        <v>166</v>
      </c>
      <c r="C14" t="s">
        <v>266</v>
      </c>
      <c r="E14" t="s">
        <v>262</v>
      </c>
      <c r="G14" s="115">
        <f>costOMvarnucEIA</f>
        <v>0.42104166666666665</v>
      </c>
      <c r="I14" s="115">
        <f>costOMvarcoalEIA</f>
        <v>3.571320754716981</v>
      </c>
      <c r="K14" s="115">
        <f>costOMvargasEIA</f>
        <v>0.41096774193548385</v>
      </c>
    </row>
    <row r="15" spans="2:11" ht="12.75">
      <c r="B15" s="46" t="s">
        <v>167</v>
      </c>
      <c r="C15" t="s">
        <v>74</v>
      </c>
      <c r="E15" t="s">
        <v>272</v>
      </c>
      <c r="G15" s="115">
        <f>costNFC</f>
        <v>0.6702868741149629</v>
      </c>
      <c r="I15" s="115">
        <f>'Ancillary Calculations'!G97</f>
        <v>2.6</v>
      </c>
      <c r="K15" s="115">
        <v>7</v>
      </c>
    </row>
    <row r="16" spans="2:11" ht="12.75">
      <c r="B16" s="46" t="s">
        <v>168</v>
      </c>
      <c r="C16" t="s">
        <v>191</v>
      </c>
      <c r="E16" t="s">
        <v>263</v>
      </c>
      <c r="G16" s="5">
        <v>0.001</v>
      </c>
      <c r="I16" s="5"/>
      <c r="K16" s="5"/>
    </row>
    <row r="17" spans="2:11" ht="12.75">
      <c r="B17" s="46" t="s">
        <v>169</v>
      </c>
      <c r="C17" t="s">
        <v>265</v>
      </c>
      <c r="E17" t="s">
        <v>264</v>
      </c>
      <c r="G17" s="6">
        <f>(350/2000)*4000</f>
        <v>700</v>
      </c>
      <c r="I17" s="6"/>
      <c r="K17" s="6"/>
    </row>
    <row r="18" spans="2:11" ht="12.75">
      <c r="B18" t="s">
        <v>170</v>
      </c>
      <c r="C18" t="s">
        <v>278</v>
      </c>
      <c r="E18" t="s">
        <v>397</v>
      </c>
      <c r="G18" s="6"/>
      <c r="I18" s="165">
        <v>25.8</v>
      </c>
      <c r="K18" s="165">
        <v>14.5</v>
      </c>
    </row>
    <row r="19" ht="12.75">
      <c r="B19" s="76"/>
    </row>
    <row r="20" spans="2:11" ht="12.75">
      <c r="B20" t="s">
        <v>171</v>
      </c>
      <c r="C20" t="s">
        <v>75</v>
      </c>
      <c r="G20" s="116">
        <v>0.03</v>
      </c>
      <c r="I20" s="116">
        <v>0.03</v>
      </c>
      <c r="K20" s="116">
        <v>0.03</v>
      </c>
    </row>
    <row r="21" spans="2:11" ht="12.75">
      <c r="B21" t="s">
        <v>174</v>
      </c>
      <c r="C21" t="s">
        <v>189</v>
      </c>
      <c r="G21" s="116">
        <v>0.01</v>
      </c>
      <c r="H21" s="21"/>
      <c r="I21" s="116">
        <v>0.01</v>
      </c>
      <c r="J21" s="21"/>
      <c r="K21" s="116">
        <v>0.01</v>
      </c>
    </row>
    <row r="22" spans="2:11" ht="12.75">
      <c r="B22" t="s">
        <v>124</v>
      </c>
      <c r="C22" t="s">
        <v>190</v>
      </c>
      <c r="G22" s="116">
        <v>0.005</v>
      </c>
      <c r="I22" s="116">
        <v>0.005</v>
      </c>
      <c r="K22" s="116">
        <v>0.005</v>
      </c>
    </row>
    <row r="23" spans="2:11" ht="12.75">
      <c r="B23" s="76"/>
      <c r="G23" s="116"/>
      <c r="I23" s="116"/>
      <c r="K23" s="116"/>
    </row>
    <row r="24" spans="2:11" ht="12.75">
      <c r="B24" t="s">
        <v>221</v>
      </c>
      <c r="C24" t="s">
        <v>77</v>
      </c>
      <c r="G24" s="112">
        <v>0.37</v>
      </c>
      <c r="I24" s="112">
        <v>0.37</v>
      </c>
      <c r="K24" s="112">
        <v>0.37</v>
      </c>
    </row>
    <row r="25" spans="2:11" ht="12.75">
      <c r="B25" t="s">
        <v>251</v>
      </c>
      <c r="C25" t="s">
        <v>144</v>
      </c>
      <c r="G25" s="112">
        <v>0.5</v>
      </c>
      <c r="I25" s="112">
        <v>0.6</v>
      </c>
      <c r="K25" s="112">
        <v>0.6</v>
      </c>
    </row>
    <row r="26" spans="2:11" ht="12.75">
      <c r="B26" t="s">
        <v>252</v>
      </c>
      <c r="C26" t="s">
        <v>145</v>
      </c>
      <c r="G26" s="112">
        <v>0.08</v>
      </c>
      <c r="I26" s="112">
        <v>0.08</v>
      </c>
      <c r="K26" s="112">
        <v>0.08</v>
      </c>
    </row>
    <row r="27" spans="2:11" ht="12.75">
      <c r="B27" t="s">
        <v>256</v>
      </c>
      <c r="C27" t="s">
        <v>146</v>
      </c>
      <c r="G27" s="112">
        <v>0.15</v>
      </c>
      <c r="I27" s="112">
        <v>0.12</v>
      </c>
      <c r="K27" s="112">
        <v>0.12</v>
      </c>
    </row>
    <row r="28" spans="2:11" ht="12.75">
      <c r="B28" t="s">
        <v>257</v>
      </c>
      <c r="C28" t="s">
        <v>398</v>
      </c>
      <c r="G28" s="116">
        <f>G25*G26*(1-G24)+(1-G25)*G27</f>
        <v>0.1002</v>
      </c>
      <c r="I28" s="116">
        <f>I25*I26*(1-I24)+(1-I25)*I27</f>
        <v>0.07824</v>
      </c>
      <c r="K28" s="116">
        <f>K25*K26*(1-K24)+(1-K25)*K27</f>
        <v>0.07824</v>
      </c>
    </row>
    <row r="29" spans="2:11" ht="12.75">
      <c r="B29" s="15"/>
      <c r="G29" s="116"/>
      <c r="I29" s="116"/>
      <c r="K29" s="116"/>
    </row>
    <row r="30" spans="2:11" ht="12.75">
      <c r="B30" s="15"/>
      <c r="G30" s="5"/>
      <c r="I30" s="5"/>
      <c r="K30" s="5"/>
    </row>
    <row r="31" spans="2:11" ht="12.75">
      <c r="B31" t="s">
        <v>258</v>
      </c>
      <c r="C31" t="s">
        <v>194</v>
      </c>
      <c r="G31" s="5"/>
      <c r="I31" s="5"/>
      <c r="K31" s="5"/>
    </row>
    <row r="32" spans="2:11" ht="12.75">
      <c r="B32"/>
      <c r="D32" t="s">
        <v>195</v>
      </c>
      <c r="G32" s="112"/>
      <c r="I32" s="112"/>
      <c r="K32" s="112"/>
    </row>
    <row r="33" spans="2:11" ht="12.75">
      <c r="B33"/>
      <c r="D33" t="s">
        <v>196</v>
      </c>
      <c r="G33" s="112">
        <v>0.095</v>
      </c>
      <c r="I33" s="117"/>
      <c r="K33" s="117"/>
    </row>
    <row r="34" spans="2:11" ht="12.75">
      <c r="B34"/>
      <c r="D34" t="s">
        <v>197</v>
      </c>
      <c r="G34" s="117">
        <v>0.25</v>
      </c>
      <c r="I34" s="117">
        <v>0.146</v>
      </c>
      <c r="K34" s="117"/>
    </row>
    <row r="35" spans="2:17" ht="12.75">
      <c r="B35"/>
      <c r="D35" t="s">
        <v>198</v>
      </c>
      <c r="G35" s="117">
        <v>0.31</v>
      </c>
      <c r="I35" s="117">
        <v>0.354</v>
      </c>
      <c r="K35" s="117"/>
      <c r="Q35" s="1"/>
    </row>
    <row r="36" spans="2:17" ht="12.75">
      <c r="B36"/>
      <c r="D36" t="s">
        <v>199</v>
      </c>
      <c r="G36" s="117">
        <v>0.25</v>
      </c>
      <c r="I36" s="117">
        <v>0.354</v>
      </c>
      <c r="K36" s="117">
        <v>0.5</v>
      </c>
      <c r="Q36" s="1"/>
    </row>
    <row r="37" spans="2:17" ht="12.75">
      <c r="B37"/>
      <c r="D37" t="s">
        <v>200</v>
      </c>
      <c r="G37" s="117">
        <v>0.095</v>
      </c>
      <c r="I37" s="117">
        <v>0.146</v>
      </c>
      <c r="K37" s="117">
        <v>0.5</v>
      </c>
      <c r="Q37" s="1"/>
    </row>
    <row r="38" spans="2:17" ht="12.75">
      <c r="B38" s="15"/>
      <c r="G38" s="5"/>
      <c r="I38" s="5"/>
      <c r="K38" s="5"/>
      <c r="Q38" s="1"/>
    </row>
    <row r="39" spans="2:17" ht="12.75">
      <c r="B39" t="s">
        <v>226</v>
      </c>
      <c r="C39" t="s">
        <v>91</v>
      </c>
      <c r="G39" s="5"/>
      <c r="I39" s="5"/>
      <c r="K39" s="5"/>
      <c r="Q39" s="36"/>
    </row>
    <row r="40" spans="2:11" ht="12.75">
      <c r="B40" s="15"/>
      <c r="D40" t="s">
        <v>92</v>
      </c>
      <c r="G40" s="118">
        <v>0.05</v>
      </c>
      <c r="I40" s="167">
        <v>0.0375</v>
      </c>
      <c r="K40" s="167">
        <v>0.05</v>
      </c>
    </row>
    <row r="41" spans="2:11" ht="12.75">
      <c r="B41" s="15"/>
      <c r="D41" t="s">
        <v>93</v>
      </c>
      <c r="G41" s="118">
        <v>0.095</v>
      </c>
      <c r="I41" s="167">
        <v>0.07219</v>
      </c>
      <c r="K41" s="167">
        <v>0.095</v>
      </c>
    </row>
    <row r="42" spans="2:11" ht="12.75">
      <c r="B42" s="15"/>
      <c r="D42" t="s">
        <v>94</v>
      </c>
      <c r="G42" s="118">
        <v>0.0855</v>
      </c>
      <c r="I42" s="167">
        <v>0.06677</v>
      </c>
      <c r="K42" s="167">
        <v>0.0855</v>
      </c>
    </row>
    <row r="43" spans="2:11" ht="12.75">
      <c r="B43" s="15"/>
      <c r="D43" t="s">
        <v>95</v>
      </c>
      <c r="G43" s="118">
        <v>0.077</v>
      </c>
      <c r="I43" s="167">
        <v>0.06177</v>
      </c>
      <c r="K43" s="167">
        <v>0.077</v>
      </c>
    </row>
    <row r="44" spans="2:11" ht="12.75">
      <c r="B44" s="15"/>
      <c r="D44" t="s">
        <v>96</v>
      </c>
      <c r="G44" s="118">
        <v>0.0693</v>
      </c>
      <c r="I44" s="167">
        <v>0.05713</v>
      </c>
      <c r="K44" s="167">
        <v>0.0693</v>
      </c>
    </row>
    <row r="45" spans="2:11" ht="12.75">
      <c r="B45" s="15"/>
      <c r="D45" t="s">
        <v>97</v>
      </c>
      <c r="G45" s="118">
        <v>0.0623</v>
      </c>
      <c r="I45" s="167">
        <v>0.05285</v>
      </c>
      <c r="K45" s="167">
        <v>0.0623</v>
      </c>
    </row>
    <row r="46" spans="2:11" ht="12.75">
      <c r="B46" s="15"/>
      <c r="D46" t="s">
        <v>98</v>
      </c>
      <c r="G46" s="118">
        <v>0.059</v>
      </c>
      <c r="I46" s="167">
        <v>0.04888</v>
      </c>
      <c r="K46" s="167">
        <v>0.059</v>
      </c>
    </row>
    <row r="47" spans="2:11" ht="12.75">
      <c r="B47" s="15"/>
      <c r="D47" t="s">
        <v>99</v>
      </c>
      <c r="G47" s="118">
        <v>0.059</v>
      </c>
      <c r="I47" s="167">
        <v>0.04522</v>
      </c>
      <c r="K47" s="167">
        <v>0.059</v>
      </c>
    </row>
    <row r="48" spans="2:11" ht="12.75">
      <c r="B48" s="15"/>
      <c r="D48" t="s">
        <v>100</v>
      </c>
      <c r="G48" s="118">
        <v>0.0591</v>
      </c>
      <c r="I48" s="167">
        <v>0.04462</v>
      </c>
      <c r="K48" s="167">
        <v>0.0591</v>
      </c>
    </row>
    <row r="49" spans="2:11" ht="12.75">
      <c r="B49" s="15"/>
      <c r="D49" t="s">
        <v>101</v>
      </c>
      <c r="G49" s="118">
        <v>0.059</v>
      </c>
      <c r="I49" s="167">
        <v>0.04461</v>
      </c>
      <c r="K49" s="167">
        <v>0.059</v>
      </c>
    </row>
    <row r="50" spans="2:11" ht="12.75">
      <c r="B50" s="15"/>
      <c r="D50" t="s">
        <v>102</v>
      </c>
      <c r="G50" s="118">
        <v>0.0591</v>
      </c>
      <c r="I50" s="167">
        <v>0.04462</v>
      </c>
      <c r="K50" s="167">
        <v>0.0591</v>
      </c>
    </row>
    <row r="51" spans="2:11" ht="12.75">
      <c r="B51" s="15"/>
      <c r="D51" t="s">
        <v>103</v>
      </c>
      <c r="G51" s="118">
        <v>0.059</v>
      </c>
      <c r="I51" s="167">
        <v>0.04461</v>
      </c>
      <c r="K51" s="167">
        <v>0.059</v>
      </c>
    </row>
    <row r="52" spans="2:11" ht="12.75">
      <c r="B52" s="15"/>
      <c r="D52" t="s">
        <v>104</v>
      </c>
      <c r="G52" s="118">
        <v>0.0591</v>
      </c>
      <c r="I52" s="167">
        <v>0.04462</v>
      </c>
      <c r="K52" s="167">
        <v>0.0591</v>
      </c>
    </row>
    <row r="53" spans="2:11" ht="12.75">
      <c r="B53" s="15"/>
      <c r="D53" t="s">
        <v>105</v>
      </c>
      <c r="G53" s="118">
        <v>0.059</v>
      </c>
      <c r="I53" s="167">
        <v>0.04461</v>
      </c>
      <c r="K53" s="167">
        <v>0.059</v>
      </c>
    </row>
    <row r="54" spans="2:11" ht="12.75">
      <c r="B54" s="15"/>
      <c r="D54" t="s">
        <v>106</v>
      </c>
      <c r="G54" s="118">
        <v>0.0591</v>
      </c>
      <c r="I54" s="167">
        <v>0.04462</v>
      </c>
      <c r="K54" s="167">
        <v>0.0591</v>
      </c>
    </row>
    <row r="55" spans="2:11" ht="12.75">
      <c r="B55" s="15"/>
      <c r="D55" t="s">
        <v>107</v>
      </c>
      <c r="G55" s="118">
        <v>0.0295</v>
      </c>
      <c r="I55" s="167">
        <v>0.04461</v>
      </c>
      <c r="K55" s="167">
        <v>0.0295</v>
      </c>
    </row>
    <row r="56" spans="4:11" ht="12.75">
      <c r="D56" s="166" t="s">
        <v>400</v>
      </c>
      <c r="I56" s="167">
        <v>0.04462</v>
      </c>
      <c r="K56" s="167"/>
    </row>
    <row r="57" spans="4:11" ht="12.75">
      <c r="D57" s="166" t="s">
        <v>401</v>
      </c>
      <c r="I57" s="167">
        <v>0.044610000000000004</v>
      </c>
      <c r="K57" s="167"/>
    </row>
    <row r="58" spans="4:11" ht="12.75">
      <c r="D58" s="166" t="s">
        <v>402</v>
      </c>
      <c r="I58" s="167">
        <v>0.04462</v>
      </c>
      <c r="K58" s="167"/>
    </row>
    <row r="59" spans="4:11" ht="12.75">
      <c r="D59" s="166" t="s">
        <v>403</v>
      </c>
      <c r="I59" s="167">
        <v>0.044610000000000004</v>
      </c>
      <c r="K59" s="167"/>
    </row>
    <row r="60" spans="4:11" ht="12.75">
      <c r="D60" s="166" t="s">
        <v>404</v>
      </c>
      <c r="I60" s="167">
        <f>2.231%</f>
        <v>0.02231</v>
      </c>
      <c r="K60" s="167"/>
    </row>
    <row r="61" spans="4:11" ht="12.75">
      <c r="D61" s="166"/>
      <c r="I61" s="167"/>
      <c r="K61" s="167"/>
    </row>
    <row r="62" spans="2:11" ht="12.75">
      <c r="B62" t="s">
        <v>227</v>
      </c>
      <c r="C62" t="s">
        <v>6</v>
      </c>
      <c r="D62" s="166"/>
      <c r="G62" t="s">
        <v>7</v>
      </c>
      <c r="I62" t="s">
        <v>7</v>
      </c>
      <c r="K62" t="s">
        <v>7</v>
      </c>
    </row>
    <row r="63" spans="1:12" ht="13.5" thickBot="1">
      <c r="A63" s="9"/>
      <c r="B63" s="43"/>
      <c r="C63" s="9"/>
      <c r="D63" s="9"/>
      <c r="E63" s="9"/>
      <c r="F63" s="9"/>
      <c r="G63" s="77"/>
      <c r="H63" s="9"/>
      <c r="I63" s="77"/>
      <c r="J63" s="9"/>
      <c r="K63" s="77"/>
      <c r="L63" s="9"/>
    </row>
    <row r="64" spans="7:14" ht="12.75">
      <c r="G64" s="21"/>
      <c r="I64" s="21"/>
      <c r="K64" s="21"/>
      <c r="M64" s="164"/>
      <c r="N64" s="164"/>
    </row>
    <row r="65" spans="1:22" ht="16.5" thickBot="1">
      <c r="A65" s="9"/>
      <c r="B65" s="78" t="s">
        <v>308</v>
      </c>
      <c r="C65" s="78"/>
      <c r="D65" s="78"/>
      <c r="E65" s="78"/>
      <c r="F65" s="78"/>
      <c r="G65" s="78"/>
      <c r="H65" s="78"/>
      <c r="I65" s="78"/>
      <c r="J65" s="78"/>
      <c r="K65" s="78"/>
      <c r="L65" s="78"/>
      <c r="M65" s="75"/>
      <c r="N65" s="75"/>
      <c r="O65" s="19"/>
      <c r="P65" s="19"/>
      <c r="Q65" s="19"/>
      <c r="R65" s="19"/>
      <c r="S65" s="19"/>
      <c r="T65" s="19"/>
      <c r="U65" s="19"/>
      <c r="V65" s="19"/>
    </row>
    <row r="66" spans="7:11" ht="12.75">
      <c r="G66" s="21"/>
      <c r="I66" s="21"/>
      <c r="K66" s="21"/>
    </row>
    <row r="67" spans="2:11" ht="12.75">
      <c r="B67" s="15" t="s">
        <v>177</v>
      </c>
      <c r="G67" s="21"/>
      <c r="I67" s="21"/>
      <c r="K67" s="21"/>
    </row>
    <row r="68" spans="2:11" ht="12.75">
      <c r="B68" s="15" t="s">
        <v>253</v>
      </c>
      <c r="G68" s="21"/>
      <c r="I68" s="21"/>
      <c r="K68" s="21"/>
    </row>
    <row r="69" spans="2:11" ht="12.75">
      <c r="B69" s="15"/>
      <c r="G69" s="21"/>
      <c r="I69" s="21"/>
      <c r="K69" s="21"/>
    </row>
    <row r="70" spans="2:11" ht="12.75">
      <c r="B70" s="15" t="s">
        <v>160</v>
      </c>
      <c r="C70" s="15" t="s">
        <v>254</v>
      </c>
      <c r="G70" s="21"/>
      <c r="I70" s="21"/>
      <c r="K70" s="21"/>
    </row>
    <row r="71" spans="2:11" ht="12.75">
      <c r="B71" s="15" t="s">
        <v>161</v>
      </c>
      <c r="C71" s="15" t="s">
        <v>254</v>
      </c>
      <c r="G71" s="21"/>
      <c r="I71" s="21"/>
      <c r="K71" s="21"/>
    </row>
    <row r="72" spans="2:11" ht="12.75">
      <c r="B72" s="15" t="s">
        <v>527</v>
      </c>
      <c r="C72" s="15" t="s">
        <v>254</v>
      </c>
      <c r="G72" s="21"/>
      <c r="I72" s="21"/>
      <c r="K72" s="21"/>
    </row>
    <row r="73" spans="2:11" ht="12.75">
      <c r="B73" s="15" t="s">
        <v>528</v>
      </c>
      <c r="C73" s="15" t="s">
        <v>530</v>
      </c>
      <c r="G73" s="21"/>
      <c r="I73" s="21"/>
      <c r="K73" s="21"/>
    </row>
    <row r="74" spans="2:11" ht="12.75">
      <c r="B74" s="15" t="s">
        <v>529</v>
      </c>
      <c r="C74" s="15" t="s">
        <v>530</v>
      </c>
      <c r="G74" s="21"/>
      <c r="I74" s="21"/>
      <c r="K74" s="21"/>
    </row>
    <row r="75" spans="2:11" ht="12.75">
      <c r="B75" s="15" t="s">
        <v>163</v>
      </c>
      <c r="C75" s="15" t="s">
        <v>530</v>
      </c>
      <c r="G75" s="21"/>
      <c r="I75" s="21"/>
      <c r="K75" s="21"/>
    </row>
    <row r="76" spans="2:11" ht="12.75">
      <c r="B76" s="15" t="s">
        <v>164</v>
      </c>
      <c r="C76" s="15" t="s">
        <v>255</v>
      </c>
      <c r="G76" s="21"/>
      <c r="I76" s="21"/>
      <c r="K76" s="21"/>
    </row>
    <row r="77" spans="2:11" ht="12.75">
      <c r="B77" s="15" t="s">
        <v>531</v>
      </c>
      <c r="C77" s="16" t="s">
        <v>534</v>
      </c>
      <c r="G77" s="21"/>
      <c r="I77" s="21"/>
      <c r="K77" s="21"/>
    </row>
    <row r="78" spans="2:11" ht="12.75">
      <c r="B78" s="15" t="s">
        <v>532</v>
      </c>
      <c r="C78" s="16" t="s">
        <v>535</v>
      </c>
      <c r="G78" s="21"/>
      <c r="I78" s="21"/>
      <c r="K78" s="21"/>
    </row>
    <row r="79" spans="2:11" ht="12.75">
      <c r="B79" s="15" t="s">
        <v>533</v>
      </c>
      <c r="C79" s="16" t="s">
        <v>536</v>
      </c>
      <c r="G79" s="21"/>
      <c r="I79" s="21"/>
      <c r="K79" s="21"/>
    </row>
    <row r="80" spans="2:11" ht="12.75">
      <c r="B80" s="15" t="s">
        <v>165</v>
      </c>
      <c r="C80" s="15" t="s">
        <v>538</v>
      </c>
      <c r="G80" s="21"/>
      <c r="I80" s="21"/>
      <c r="K80" s="21"/>
    </row>
    <row r="81" spans="2:11" ht="12.75">
      <c r="B81" s="15"/>
      <c r="C81" s="15" t="s">
        <v>464</v>
      </c>
      <c r="G81" s="21"/>
      <c r="I81" s="21"/>
      <c r="K81" s="21"/>
    </row>
    <row r="82" spans="2:11" ht="12.75">
      <c r="B82" s="15" t="s">
        <v>539</v>
      </c>
      <c r="C82" s="16" t="s">
        <v>537</v>
      </c>
      <c r="G82" s="21"/>
      <c r="I82" s="21"/>
      <c r="K82" s="21"/>
    </row>
    <row r="83" spans="2:11" ht="12.75">
      <c r="B83" s="15" t="s">
        <v>540</v>
      </c>
      <c r="C83" s="16" t="s">
        <v>542</v>
      </c>
      <c r="G83" s="21"/>
      <c r="I83" s="21"/>
      <c r="K83" s="21"/>
    </row>
    <row r="84" spans="2:11" ht="12.75">
      <c r="B84" s="15" t="s">
        <v>541</v>
      </c>
      <c r="C84" s="16" t="s">
        <v>543</v>
      </c>
      <c r="G84" s="21"/>
      <c r="I84" s="21"/>
      <c r="K84" s="21"/>
    </row>
    <row r="85" spans="2:11" ht="12.75">
      <c r="B85" s="15" t="s">
        <v>166</v>
      </c>
      <c r="C85" s="15" t="s">
        <v>545</v>
      </c>
      <c r="G85" s="21"/>
      <c r="I85" s="21"/>
      <c r="K85" s="21"/>
    </row>
    <row r="86" spans="2:11" ht="12.75">
      <c r="B86" s="15"/>
      <c r="C86" s="15" t="s">
        <v>464</v>
      </c>
      <c r="G86" s="21"/>
      <c r="I86" s="21"/>
      <c r="K86" s="21"/>
    </row>
    <row r="87" spans="2:11" ht="12.75">
      <c r="B87" s="15" t="s">
        <v>546</v>
      </c>
      <c r="C87" s="16" t="s">
        <v>544</v>
      </c>
      <c r="G87" s="21"/>
      <c r="I87" s="21"/>
      <c r="K87" s="21"/>
    </row>
    <row r="88" spans="2:11" ht="12.75">
      <c r="B88" s="15" t="s">
        <v>547</v>
      </c>
      <c r="C88" s="16" t="s">
        <v>549</v>
      </c>
      <c r="G88" s="21"/>
      <c r="I88" s="21"/>
      <c r="K88" s="21"/>
    </row>
    <row r="89" spans="2:11" ht="12.75">
      <c r="B89" s="15" t="s">
        <v>548</v>
      </c>
      <c r="C89" s="16" t="s">
        <v>550</v>
      </c>
      <c r="G89" s="21"/>
      <c r="I89" s="21"/>
      <c r="K89" s="21"/>
    </row>
    <row r="90" spans="2:11" ht="12.75">
      <c r="B90" s="15" t="s">
        <v>167</v>
      </c>
      <c r="C90" s="15" t="s">
        <v>530</v>
      </c>
      <c r="G90" s="21"/>
      <c r="I90" s="21"/>
      <c r="K90" s="21"/>
    </row>
    <row r="91" spans="2:11" ht="12.75">
      <c r="B91" s="15" t="s">
        <v>552</v>
      </c>
      <c r="C91" s="15" t="s">
        <v>551</v>
      </c>
      <c r="G91" s="21"/>
      <c r="I91" s="21"/>
      <c r="K91" s="21"/>
    </row>
    <row r="92" spans="2:11" ht="12.75">
      <c r="B92" s="15" t="s">
        <v>554</v>
      </c>
      <c r="C92" s="15" t="s">
        <v>553</v>
      </c>
      <c r="G92" s="21"/>
      <c r="I92" s="21"/>
      <c r="K92" s="21"/>
    </row>
    <row r="93" spans="2:11" ht="12.75">
      <c r="B93" s="15"/>
      <c r="C93" s="16" t="s">
        <v>555</v>
      </c>
      <c r="G93" s="21"/>
      <c r="I93" s="21"/>
      <c r="K93" s="21"/>
    </row>
    <row r="94" spans="2:11" ht="12.75">
      <c r="B94" s="15" t="s">
        <v>170</v>
      </c>
      <c r="C94" s="15" t="s">
        <v>254</v>
      </c>
      <c r="G94" s="21"/>
      <c r="I94" s="21"/>
      <c r="K94" s="21"/>
    </row>
    <row r="95" spans="2:11" ht="12.75">
      <c r="B95" s="15" t="s">
        <v>171</v>
      </c>
      <c r="C95" s="15" t="s">
        <v>254</v>
      </c>
      <c r="G95" s="21"/>
      <c r="I95" s="21"/>
      <c r="K95" s="21"/>
    </row>
    <row r="96" spans="2:11" ht="12.75">
      <c r="B96" s="15" t="s">
        <v>174</v>
      </c>
      <c r="C96" s="15" t="s">
        <v>254</v>
      </c>
      <c r="G96" s="21"/>
      <c r="I96" s="21"/>
      <c r="K96" s="21"/>
    </row>
    <row r="97" spans="2:11" ht="12.75">
      <c r="B97" s="15" t="s">
        <v>124</v>
      </c>
      <c r="C97" s="15" t="s">
        <v>254</v>
      </c>
      <c r="G97" s="21"/>
      <c r="I97" s="21"/>
      <c r="K97" s="21"/>
    </row>
    <row r="98" spans="2:11" ht="12.75">
      <c r="B98" s="15" t="s">
        <v>221</v>
      </c>
      <c r="C98" s="15" t="s">
        <v>254</v>
      </c>
      <c r="G98" s="21"/>
      <c r="I98" s="21"/>
      <c r="K98" s="21"/>
    </row>
    <row r="99" spans="2:11" ht="12.75">
      <c r="B99" s="15" t="s">
        <v>251</v>
      </c>
      <c r="C99" s="15" t="s">
        <v>254</v>
      </c>
      <c r="G99" s="21"/>
      <c r="I99" s="21"/>
      <c r="K99" s="21"/>
    </row>
    <row r="100" spans="2:11" ht="12.75">
      <c r="B100" s="15" t="s">
        <v>252</v>
      </c>
      <c r="C100" s="15" t="s">
        <v>254</v>
      </c>
      <c r="G100" s="21"/>
      <c r="I100" s="21"/>
      <c r="K100" s="21"/>
    </row>
    <row r="101" spans="2:11" ht="12.75">
      <c r="B101" s="15" t="s">
        <v>256</v>
      </c>
      <c r="C101" s="15" t="s">
        <v>254</v>
      </c>
      <c r="G101" s="21"/>
      <c r="I101" s="21"/>
      <c r="K101" s="21"/>
    </row>
    <row r="102" spans="2:11" ht="12.75">
      <c r="B102" s="15" t="s">
        <v>257</v>
      </c>
      <c r="C102" s="16" t="s">
        <v>225</v>
      </c>
      <c r="G102" s="21"/>
      <c r="I102" s="21"/>
      <c r="K102" s="21"/>
    </row>
    <row r="103" spans="2:11" ht="12.75">
      <c r="B103" s="15" t="s">
        <v>258</v>
      </c>
      <c r="C103" s="15" t="s">
        <v>254</v>
      </c>
      <c r="G103" s="21"/>
      <c r="I103" s="21"/>
      <c r="K103" s="21"/>
    </row>
    <row r="104" spans="2:11" ht="12.75">
      <c r="B104" s="15" t="s">
        <v>226</v>
      </c>
      <c r="C104" s="15" t="s">
        <v>557</v>
      </c>
      <c r="G104" s="21"/>
      <c r="I104" s="21"/>
      <c r="K104" s="21"/>
    </row>
    <row r="105" spans="2:11" ht="12.75">
      <c r="B105" s="15" t="s">
        <v>556</v>
      </c>
      <c r="C105" s="15" t="s">
        <v>558</v>
      </c>
      <c r="G105" s="21"/>
      <c r="I105" s="21"/>
      <c r="K105" s="21"/>
    </row>
    <row r="106" spans="2:11" ht="12.75">
      <c r="B106" s="15" t="s">
        <v>559</v>
      </c>
      <c r="C106" s="15" t="s">
        <v>560</v>
      </c>
      <c r="G106" s="21"/>
      <c r="I106" s="21"/>
      <c r="K106" s="21"/>
    </row>
    <row r="107" spans="2:11" ht="12.75">
      <c r="B107" s="15" t="s">
        <v>561</v>
      </c>
      <c r="C107" s="15" t="s">
        <v>558</v>
      </c>
      <c r="G107" s="21"/>
      <c r="I107" s="21"/>
      <c r="K107" s="21"/>
    </row>
    <row r="108" spans="2:11" ht="12.75">
      <c r="B108" s="15" t="s">
        <v>227</v>
      </c>
      <c r="C108" s="15" t="s">
        <v>254</v>
      </c>
      <c r="G108" s="21"/>
      <c r="I108" s="21"/>
      <c r="K108" s="21"/>
    </row>
  </sheetData>
  <sheetProtection/>
  <printOptions horizontalCentered="1" verticalCentered="1"/>
  <pageMargins left="0.75" right="0.75" top="1" bottom="1" header="0.5" footer="0.5"/>
  <pageSetup orientation="portrait" scale="63" r:id="rId1"/>
  <rowBreaks count="1" manualBreakCount="1">
    <brk id="64" max="13" man="1"/>
  </rowBreaks>
</worksheet>
</file>

<file path=xl/worksheets/sheet7.xml><?xml version="1.0" encoding="utf-8"?>
<worksheet xmlns="http://schemas.openxmlformats.org/spreadsheetml/2006/main" xmlns:r="http://schemas.openxmlformats.org/officeDocument/2006/relationships">
  <dimension ref="A3:Z64"/>
  <sheetViews>
    <sheetView zoomScalePageLayoutView="0" workbookViewId="0" topLeftCell="A49">
      <selection activeCell="L49" sqref="L49"/>
    </sheetView>
  </sheetViews>
  <sheetFormatPr defaultColWidth="8.8515625" defaultRowHeight="12.75"/>
  <cols>
    <col min="1" max="1" width="2.8515625" style="37" customWidth="1"/>
    <col min="2" max="2" width="4.28125" style="45" customWidth="1"/>
    <col min="3" max="3" width="6.7109375" style="19" customWidth="1"/>
    <col min="4" max="4" width="9.421875" style="19" customWidth="1"/>
    <col min="5" max="5" width="3.8515625" style="0" customWidth="1"/>
    <col min="6" max="7" width="11.8515625" style="0" customWidth="1"/>
    <col min="8" max="8" width="11.8515625" style="20" customWidth="1"/>
    <col min="9" max="10" width="11.8515625" style="0" customWidth="1"/>
    <col min="11" max="11" width="11.8515625" style="20" customWidth="1"/>
    <col min="12" max="12" width="2.8515625" style="37" customWidth="1"/>
    <col min="13" max="14" width="8.8515625" style="0" customWidth="1"/>
    <col min="18" max="21" width="8.8515625" style="0" customWidth="1"/>
    <col min="22" max="22" width="14.57421875" style="0" customWidth="1"/>
    <col min="23" max="24" width="8.8515625" style="0" customWidth="1"/>
    <col min="25" max="25" width="14.57421875" style="0" customWidth="1"/>
  </cols>
  <sheetData>
    <row r="3" spans="1:12" ht="16.5" thickBot="1">
      <c r="A3" s="9"/>
      <c r="B3" s="42" t="s">
        <v>405</v>
      </c>
      <c r="C3" s="75"/>
      <c r="D3" s="75"/>
      <c r="E3" s="9"/>
      <c r="F3" s="9"/>
      <c r="G3" s="9"/>
      <c r="H3" s="79"/>
      <c r="I3" s="9"/>
      <c r="J3" s="9"/>
      <c r="K3" s="79"/>
      <c r="L3" s="9"/>
    </row>
    <row r="4" ht="15.75">
      <c r="B4" s="74"/>
    </row>
    <row r="5" spans="2:25" ht="39">
      <c r="B5" s="74"/>
      <c r="H5" s="26" t="s">
        <v>112</v>
      </c>
      <c r="V5" s="25"/>
      <c r="Y5" s="25"/>
    </row>
    <row r="6" spans="1:12" s="22" customFormat="1" ht="27" customHeight="1">
      <c r="A6" s="37"/>
      <c r="B6" s="74"/>
      <c r="C6" s="22" t="s">
        <v>72</v>
      </c>
      <c r="D6" s="22" t="s">
        <v>73</v>
      </c>
      <c r="F6" s="23" t="s">
        <v>108</v>
      </c>
      <c r="G6" s="23" t="s">
        <v>109</v>
      </c>
      <c r="H6" s="26" t="s">
        <v>113</v>
      </c>
      <c r="I6" s="23" t="s">
        <v>110</v>
      </c>
      <c r="J6" s="23" t="s">
        <v>74</v>
      </c>
      <c r="K6" s="26" t="s">
        <v>191</v>
      </c>
      <c r="L6" s="37"/>
    </row>
    <row r="7" spans="1:12" s="22" customFormat="1" ht="12.75" customHeight="1">
      <c r="A7" s="17"/>
      <c r="B7" s="50"/>
      <c r="C7" s="80" t="s">
        <v>153</v>
      </c>
      <c r="D7" s="80" t="s">
        <v>154</v>
      </c>
      <c r="E7" s="80"/>
      <c r="F7" s="81" t="s">
        <v>155</v>
      </c>
      <c r="G7" s="81" t="s">
        <v>156</v>
      </c>
      <c r="H7" s="82" t="s">
        <v>157</v>
      </c>
      <c r="I7" s="81" t="s">
        <v>158</v>
      </c>
      <c r="J7" s="81" t="s">
        <v>159</v>
      </c>
      <c r="K7" s="82" t="s">
        <v>210</v>
      </c>
      <c r="L7" s="17"/>
    </row>
    <row r="8" spans="1:12" s="22" customFormat="1" ht="12.75" customHeight="1">
      <c r="A8" s="17"/>
      <c r="B8" s="50"/>
      <c r="F8" s="23"/>
      <c r="G8" s="23"/>
      <c r="H8" s="26"/>
      <c r="I8" s="23"/>
      <c r="J8" s="23"/>
      <c r="K8" s="26"/>
      <c r="L8" s="17"/>
    </row>
    <row r="9" spans="6:11" ht="12.75">
      <c r="F9" s="28"/>
      <c r="G9" s="28"/>
      <c r="H9" s="28"/>
      <c r="I9" s="28"/>
      <c r="J9" s="28"/>
      <c r="K9" s="28"/>
    </row>
    <row r="10" spans="2:11" ht="12.75">
      <c r="B10" s="46" t="s">
        <v>160</v>
      </c>
      <c r="C10" s="19">
        <v>-4</v>
      </c>
      <c r="D10" s="19">
        <v>2009</v>
      </c>
      <c r="F10" s="28">
        <f>Cnuc*costKnucO*'Table 5 LCOE inputs'!G33/1000*'Escalation Factors'!E10</f>
        <v>403.142</v>
      </c>
      <c r="G10" s="28"/>
      <c r="H10" s="28"/>
      <c r="I10" s="28"/>
      <c r="J10" s="28"/>
      <c r="K10" s="28"/>
    </row>
    <row r="11" spans="2:25" ht="12.75">
      <c r="B11" s="46" t="s">
        <v>161</v>
      </c>
      <c r="C11" s="19">
        <v>-3</v>
      </c>
      <c r="D11" s="19">
        <v>2010</v>
      </c>
      <c r="F11" s="28">
        <f>Cnuc*costKnucO*'Table 5 LCOE inputs'!G34/1000*'Escalation Factors'!E11</f>
        <v>1092.727</v>
      </c>
      <c r="G11" s="28"/>
      <c r="H11" s="28"/>
      <c r="I11" s="28"/>
      <c r="J11" s="28"/>
      <c r="K11" s="28"/>
      <c r="V11" s="106"/>
      <c r="Y11" s="106"/>
    </row>
    <row r="12" spans="2:25" ht="12.75">
      <c r="B12" s="46" t="s">
        <v>162</v>
      </c>
      <c r="C12" s="19">
        <v>-2</v>
      </c>
      <c r="D12" s="19">
        <v>2011</v>
      </c>
      <c r="F12" s="28">
        <f>Cnuc*costKnucO*'Table 5 LCOE inputs'!G35/1000*'Escalation Factors'!E12</f>
        <v>1395.6309244</v>
      </c>
      <c r="G12" s="28"/>
      <c r="H12" s="28"/>
      <c r="I12" s="28"/>
      <c r="J12" s="28"/>
      <c r="K12" s="28"/>
      <c r="V12" s="106"/>
      <c r="Y12" s="106"/>
    </row>
    <row r="13" spans="2:25" ht="12.75">
      <c r="B13" s="46" t="s">
        <v>163</v>
      </c>
      <c r="C13" s="19">
        <v>-1</v>
      </c>
      <c r="D13" s="19">
        <v>2012</v>
      </c>
      <c r="F13" s="28">
        <f>Cnuc*costKnucO*'Table 5 LCOE inputs'!G36/1000*'Escalation Factors'!E13</f>
        <v>1159.2740743</v>
      </c>
      <c r="G13" s="28"/>
      <c r="H13" s="28"/>
      <c r="I13" s="28"/>
      <c r="J13" s="28"/>
      <c r="K13" s="28"/>
      <c r="V13" s="106"/>
      <c r="Y13" s="106"/>
    </row>
    <row r="14" spans="2:11" ht="12.75">
      <c r="B14" s="46" t="s">
        <v>164</v>
      </c>
      <c r="C14" s="19">
        <v>0</v>
      </c>
      <c r="D14" s="19">
        <v>2013</v>
      </c>
      <c r="F14" s="28">
        <f>Cnuc*costKnucO*'Table 5 LCOE inputs'!G37/1000*'Escalation Factors'!E14</f>
        <v>453.73987268101996</v>
      </c>
      <c r="G14" s="28"/>
      <c r="H14" s="28"/>
      <c r="I14" s="28"/>
      <c r="J14" s="28"/>
      <c r="K14" s="28"/>
    </row>
    <row r="15" spans="2:25" ht="12.75">
      <c r="B15" s="46" t="s">
        <v>165</v>
      </c>
      <c r="C15" s="19">
        <v>1</v>
      </c>
      <c r="D15" s="19">
        <v>2014</v>
      </c>
      <c r="F15" s="28"/>
      <c r="G15" s="28">
        <f>'Table 5 LCOE inputs'!G40*SUM(F$9:F$14)</f>
        <v>225.22569356905103</v>
      </c>
      <c r="H15" s="28">
        <f>Cnuc*costKnucI*'Escalation Factors'!E15/1000</f>
        <v>49.1949546169948</v>
      </c>
      <c r="I15" s="28">
        <f>(Cnuc*costOMfixnuc/1000+(costOMvarnuc*CFnuc*Cnuc*8766*'Table 5 LCOE inputs'!G$14/1000000000))*('Escalation Factors'!F15)</f>
        <v>74.41973538762439</v>
      </c>
      <c r="J15" s="28">
        <f>(CFnuc*Cnuc*8766*costFnuc*Hnuc)/1000000000*'Escalation Factors'!G15</f>
        <v>66.15115806102693</v>
      </c>
      <c r="K15" s="28">
        <f aca="true" t="shared" si="0" ref="K15:K54">costWnuc*CFnuc*Cnuc*8766/1000</f>
        <v>7.451099999999999</v>
      </c>
      <c r="V15" s="27"/>
      <c r="Y15" s="27"/>
    </row>
    <row r="16" spans="2:25" ht="12.75">
      <c r="B16" s="46" t="s">
        <v>166</v>
      </c>
      <c r="C16" s="19">
        <v>2</v>
      </c>
      <c r="D16" s="19">
        <v>2015</v>
      </c>
      <c r="F16" s="28"/>
      <c r="G16" s="28">
        <f>'Table 5 LCOE inputs'!G41*SUM(F$9:F$14)</f>
        <v>427.9288177811969</v>
      </c>
      <c r="H16" s="28">
        <f>Cnuc*costKnucI*'Escalation Factors'!E16/1000</f>
        <v>50.67080325550464</v>
      </c>
      <c r="I16" s="28">
        <f>(Cnuc*costOMfixnuc/1000+(costOMvarnuc*CFnuc*Cnuc*8766*'Table 5 LCOE inputs'!G$14/1000000000))*('Escalation Factors'!F16)</f>
        <v>77.41885072374563</v>
      </c>
      <c r="J16" s="28">
        <f>(CFnuc*Cnuc*8766*costFnuc*Hnuc)/1000000000*'Escalation Factors'!G16</f>
        <v>68.47637126687204</v>
      </c>
      <c r="K16" s="28">
        <f t="shared" si="0"/>
        <v>7.451099999999999</v>
      </c>
      <c r="V16" s="106"/>
      <c r="Y16" s="106"/>
    </row>
    <row r="17" spans="2:11" ht="12.75">
      <c r="B17" s="46" t="s">
        <v>167</v>
      </c>
      <c r="C17" s="19">
        <v>3</v>
      </c>
      <c r="D17" s="19">
        <v>2016</v>
      </c>
      <c r="F17" s="28"/>
      <c r="G17" s="28">
        <f>'Table 5 LCOE inputs'!G42*SUM(F$9:F$14)</f>
        <v>385.13593600307723</v>
      </c>
      <c r="H17" s="28">
        <f>Cnuc*costKnucI*'Escalation Factors'!E17/1000</f>
        <v>52.190927353169776</v>
      </c>
      <c r="I17" s="28">
        <f>(Cnuc*costOMfixnuc/1000+(costOMvarnuc*CFnuc*Cnuc*8766*'Table 5 LCOE inputs'!G$14/1000000000))*('Escalation Factors'!F17)</f>
        <v>80.53883040791258</v>
      </c>
      <c r="J17" s="28">
        <f>(CFnuc*Cnuc*8766*costFnuc*Hnuc)/1000000000*'Escalation Factors'!G17</f>
        <v>70.88331571690259</v>
      </c>
      <c r="K17" s="28">
        <f t="shared" si="0"/>
        <v>7.451099999999999</v>
      </c>
    </row>
    <row r="18" spans="2:25" ht="12.75">
      <c r="B18" s="46" t="s">
        <v>168</v>
      </c>
      <c r="C18" s="19">
        <v>4</v>
      </c>
      <c r="D18" s="19">
        <v>2017</v>
      </c>
      <c r="F18" s="28"/>
      <c r="G18" s="28">
        <f>'Table 5 LCOE inputs'!G43*SUM(F$9:F$14)</f>
        <v>346.84756809633853</v>
      </c>
      <c r="H18" s="28">
        <f>Cnuc*costKnucI*'Escalation Factors'!E18/1000</f>
        <v>53.75665517376487</v>
      </c>
      <c r="I18" s="28">
        <f>(Cnuc*costOMfixnuc/1000+(costOMvarnuc*CFnuc*Cnuc*8766*'Table 5 LCOE inputs'!G$14/1000000000))*('Escalation Factors'!F18)</f>
        <v>83.78454527335145</v>
      </c>
      <c r="J18" s="28">
        <f>(CFnuc*Cnuc*8766*costFnuc*Hnuc)/1000000000*'Escalation Factors'!G18</f>
        <v>73.3748642643517</v>
      </c>
      <c r="K18" s="28">
        <f t="shared" si="0"/>
        <v>7.451099999999999</v>
      </c>
      <c r="V18" s="27"/>
      <c r="Y18" s="27"/>
    </row>
    <row r="19" spans="2:11" ht="12.75">
      <c r="B19" s="46" t="s">
        <v>169</v>
      </c>
      <c r="C19" s="19">
        <v>5</v>
      </c>
      <c r="D19" s="19">
        <v>2018</v>
      </c>
      <c r="F19" s="28"/>
      <c r="G19" s="28">
        <f>'Table 5 LCOE inputs'!G44*SUM(F$9:F$14)</f>
        <v>312.1628112867047</v>
      </c>
      <c r="H19" s="28">
        <f>Cnuc*costKnucI*'Escalation Factors'!E19/1000</f>
        <v>55.36935482897782</v>
      </c>
      <c r="I19" s="28">
        <f>(Cnuc*costOMfixnuc/1000+(costOMvarnuc*CFnuc*Cnuc*8766*'Table 5 LCOE inputs'!G$14/1000000000))*('Escalation Factors'!F19)</f>
        <v>87.16106244786754</v>
      </c>
      <c r="J19" s="28">
        <f>(CFnuc*Cnuc*8766*costFnuc*Hnuc)/1000000000*'Escalation Factors'!G19</f>
        <v>75.95399074324368</v>
      </c>
      <c r="K19" s="28">
        <f t="shared" si="0"/>
        <v>7.451099999999999</v>
      </c>
    </row>
    <row r="20" spans="2:11" ht="12.75">
      <c r="B20" t="s">
        <v>170</v>
      </c>
      <c r="C20" s="19">
        <v>6</v>
      </c>
      <c r="D20" s="19">
        <v>2019</v>
      </c>
      <c r="F20" s="28"/>
      <c r="G20" s="28">
        <f>'Table 5 LCOE inputs'!G45*SUM(F$9:F$14)</f>
        <v>280.6312141870376</v>
      </c>
      <c r="H20" s="28">
        <f>Cnuc*costKnucI*'Escalation Factors'!E20/1000</f>
        <v>57.03043547384714</v>
      </c>
      <c r="I20" s="28">
        <f>(Cnuc*costOMfixnuc/1000+(costOMvarnuc*CFnuc*Cnuc*8766*'Table 5 LCOE inputs'!G$14/1000000000))*('Escalation Factors'!F20)</f>
        <v>90.67365326451659</v>
      </c>
      <c r="J20" s="28">
        <f>(CFnuc*Cnuc*8766*costFnuc*Hnuc)/1000000000*'Escalation Factors'!G20</f>
        <v>78.6237735178687</v>
      </c>
      <c r="K20" s="28">
        <f t="shared" si="0"/>
        <v>7.451099999999999</v>
      </c>
    </row>
    <row r="21" spans="2:11" ht="12.75">
      <c r="B21" t="s">
        <v>171</v>
      </c>
      <c r="C21" s="19">
        <v>7</v>
      </c>
      <c r="D21" s="19">
        <v>2020</v>
      </c>
      <c r="F21" s="28"/>
      <c r="G21" s="28">
        <f>'Table 5 LCOE inputs'!G46*SUM(F$9:F$14)</f>
        <v>265.7663184114802</v>
      </c>
      <c r="H21" s="28">
        <f>Cnuc*costKnucI*'Escalation Factors'!E21/1000</f>
        <v>58.74134853806256</v>
      </c>
      <c r="I21" s="28">
        <f>(Cnuc*costOMfixnuc/1000+(costOMvarnuc*CFnuc*Cnuc*8766*'Table 5 LCOE inputs'!G$14/1000000000))*('Escalation Factors'!F21)</f>
        <v>94.3278014910766</v>
      </c>
      <c r="J21" s="28">
        <f>(CFnuc*Cnuc*8766*costFnuc*Hnuc)/1000000000*'Escalation Factors'!G21</f>
        <v>81.38739915702176</v>
      </c>
      <c r="K21" s="28">
        <f t="shared" si="0"/>
        <v>7.451099999999999</v>
      </c>
    </row>
    <row r="22" spans="2:25" ht="12.75">
      <c r="B22" t="s">
        <v>174</v>
      </c>
      <c r="C22" s="19">
        <v>8</v>
      </c>
      <c r="D22" s="19">
        <v>2021</v>
      </c>
      <c r="F22" s="28"/>
      <c r="G22" s="28">
        <f>'Table 5 LCOE inputs'!G47*SUM(F$9:F$14)</f>
        <v>265.7663184114802</v>
      </c>
      <c r="H22" s="28">
        <f>Cnuc*costKnucI*'Escalation Factors'!E22/1000</f>
        <v>60.503588994204435</v>
      </c>
      <c r="I22" s="28">
        <f>(Cnuc*costOMfixnuc/1000+(costOMvarnuc*CFnuc*Cnuc*8766*'Table 5 LCOE inputs'!G$14/1000000000))*('Escalation Factors'!F22)</f>
        <v>98.12921189116699</v>
      </c>
      <c r="J22" s="28">
        <f>(CFnuc*Cnuc*8766*costFnuc*Hnuc)/1000000000*'Escalation Factors'!G22</f>
        <v>84.2481662373911</v>
      </c>
      <c r="K22" s="28">
        <f t="shared" si="0"/>
        <v>7.451099999999999</v>
      </c>
      <c r="V22" s="3"/>
      <c r="Y22" s="3"/>
    </row>
    <row r="23" spans="2:25" ht="12.75">
      <c r="B23" t="s">
        <v>174</v>
      </c>
      <c r="C23" s="19">
        <v>9</v>
      </c>
      <c r="D23" s="19">
        <v>2022</v>
      </c>
      <c r="F23" s="28"/>
      <c r="G23" s="28">
        <f>'Table 5 LCOE inputs'!G48*SUM(F$9:F$14)</f>
        <v>266.2167697986183</v>
      </c>
      <c r="H23" s="28">
        <f>Cnuc*costKnucI*'Escalation Factors'!E23/1000</f>
        <v>62.318696664030576</v>
      </c>
      <c r="I23" s="28">
        <f>(Cnuc*costOMfixnuc/1000+(costOMvarnuc*CFnuc*Cnuc*8766*'Table 5 LCOE inputs'!G$14/1000000000))*('Escalation Factors'!F23)</f>
        <v>102.083819130381</v>
      </c>
      <c r="J23" s="28">
        <f>(CFnuc*Cnuc*8766*costFnuc*Hnuc)/1000000000*'Escalation Factors'!G23</f>
        <v>87.20948928063541</v>
      </c>
      <c r="K23" s="28">
        <f t="shared" si="0"/>
        <v>7.451099999999999</v>
      </c>
      <c r="V23" s="106"/>
      <c r="Y23" s="106"/>
    </row>
    <row r="24" spans="2:25" ht="12.75">
      <c r="B24" t="s">
        <v>124</v>
      </c>
      <c r="C24" s="19">
        <v>10</v>
      </c>
      <c r="D24" s="19">
        <v>2023</v>
      </c>
      <c r="F24" s="28"/>
      <c r="G24" s="28">
        <f>'Table 5 LCOE inputs'!G49*SUM(F$9:F$14)</f>
        <v>265.7663184114802</v>
      </c>
      <c r="H24" s="28">
        <f>Cnuc*costKnucI*'Escalation Factors'!E24/1000</f>
        <v>64.18825756395148</v>
      </c>
      <c r="I24" s="28">
        <f>(Cnuc*costOMfixnuc/1000+(costOMvarnuc*CFnuc*Cnuc*8766*'Table 5 LCOE inputs'!G$14/1000000000))*('Escalation Factors'!F24)</f>
        <v>106.19779704133536</v>
      </c>
      <c r="J24" s="28">
        <f>(CFnuc*Cnuc*8766*costFnuc*Hnuc)/1000000000*'Escalation Factors'!G24</f>
        <v>90.27490282884973</v>
      </c>
      <c r="K24" s="28">
        <f t="shared" si="0"/>
        <v>7.451099999999999</v>
      </c>
      <c r="V24" s="106"/>
      <c r="Y24" s="106"/>
    </row>
    <row r="25" spans="2:25" ht="12.75">
      <c r="B25" t="s">
        <v>221</v>
      </c>
      <c r="C25" s="19">
        <v>11</v>
      </c>
      <c r="D25" s="19">
        <v>2024</v>
      </c>
      <c r="F25" s="28"/>
      <c r="G25" s="28">
        <f>'Table 5 LCOE inputs'!G50*SUM(F$9:F$14)</f>
        <v>266.2167697986183</v>
      </c>
      <c r="H25" s="28">
        <f>Cnuc*costKnucI*'Escalation Factors'!E25/1000</f>
        <v>66.11390529087002</v>
      </c>
      <c r="I25" s="28">
        <f>(Cnuc*costOMfixnuc/1000+(costOMvarnuc*CFnuc*Cnuc*8766*'Table 5 LCOE inputs'!G$14/1000000000))*('Escalation Factors'!F25)</f>
        <v>110.47756826210117</v>
      </c>
      <c r="J25" s="28">
        <f>(CFnuc*Cnuc*8766*costFnuc*Hnuc)/1000000000*'Escalation Factors'!G25</f>
        <v>93.4480656632838</v>
      </c>
      <c r="K25" s="28">
        <f t="shared" si="0"/>
        <v>7.451099999999999</v>
      </c>
      <c r="V25" s="106"/>
      <c r="Y25" s="106"/>
    </row>
    <row r="26" spans="2:11" ht="12.75">
      <c r="B26" t="s">
        <v>251</v>
      </c>
      <c r="C26" s="19">
        <v>12</v>
      </c>
      <c r="D26" s="19">
        <v>2025</v>
      </c>
      <c r="F26" s="28"/>
      <c r="G26" s="28">
        <f>'Table 5 LCOE inputs'!G51*SUM(F$9:F$14)</f>
        <v>265.7663184114802</v>
      </c>
      <c r="H26" s="28">
        <f>Cnuc*costKnucI*'Escalation Factors'!E26/1000</f>
        <v>68.09732244959613</v>
      </c>
      <c r="I26" s="28">
        <f>(Cnuc*costOMfixnuc/1000+(costOMvarnuc*CFnuc*Cnuc*8766*'Table 5 LCOE inputs'!G$14/1000000000))*('Escalation Factors'!F26)</f>
        <v>114.92981426306386</v>
      </c>
      <c r="J26" s="28">
        <f>(CFnuc*Cnuc*8766*costFnuc*Hnuc)/1000000000*'Escalation Factors'!G26</f>
        <v>96.73276517134823</v>
      </c>
      <c r="K26" s="28">
        <f t="shared" si="0"/>
        <v>7.451099999999999</v>
      </c>
    </row>
    <row r="27" spans="2:25" ht="12.75">
      <c r="B27" t="s">
        <v>252</v>
      </c>
      <c r="C27" s="19">
        <v>13</v>
      </c>
      <c r="D27" s="19">
        <v>2026</v>
      </c>
      <c r="F27" s="28"/>
      <c r="G27" s="28">
        <f>'Table 5 LCOE inputs'!G52*SUM(F$9:F$14)</f>
        <v>266.2167697986183</v>
      </c>
      <c r="H27" s="28">
        <f>Cnuc*costKnucI*'Escalation Factors'!E27/1000</f>
        <v>70.14024212308401</v>
      </c>
      <c r="I27" s="28">
        <f>(Cnuc*costOMfixnuc/1000+(costOMvarnuc*CFnuc*Cnuc*8766*'Table 5 LCOE inputs'!G$14/1000000000))*('Escalation Factors'!F27)</f>
        <v>119.56148577786533</v>
      </c>
      <c r="J27" s="28">
        <f>(CFnuc*Cnuc*8766*costFnuc*Hnuc)/1000000000*'Escalation Factors'!G27</f>
        <v>100.13292186712113</v>
      </c>
      <c r="K27" s="28">
        <f t="shared" si="0"/>
        <v>7.451099999999999</v>
      </c>
      <c r="V27" s="106"/>
      <c r="Y27" s="106"/>
    </row>
    <row r="28" spans="2:11" ht="12.75">
      <c r="B28" t="s">
        <v>256</v>
      </c>
      <c r="C28" s="19">
        <v>14</v>
      </c>
      <c r="D28" s="19">
        <v>2027</v>
      </c>
      <c r="F28" s="28"/>
      <c r="G28" s="28">
        <f>'Table 5 LCOE inputs'!G53*SUM(F$9:F$14)</f>
        <v>265.7663184114802</v>
      </c>
      <c r="H28" s="28">
        <f>Cnuc*costKnucI*'Escalation Factors'!E28/1000</f>
        <v>72.24444938677652</v>
      </c>
      <c r="I28" s="28">
        <f>(Cnuc*costOMfixnuc/1000+(costOMvarnuc*CFnuc*Cnuc*8766*'Table 5 LCOE inputs'!G$14/1000000000))*('Escalation Factors'!F28)</f>
        <v>124.37981365471327</v>
      </c>
      <c r="J28" s="28">
        <f>(CFnuc*Cnuc*8766*costFnuc*Hnuc)/1000000000*'Escalation Factors'!G28</f>
        <v>103.65259407075042</v>
      </c>
      <c r="K28" s="28">
        <f t="shared" si="0"/>
        <v>7.451099999999999</v>
      </c>
    </row>
    <row r="29" spans="2:25" ht="12.75">
      <c r="B29" t="s">
        <v>257</v>
      </c>
      <c r="C29" s="19">
        <v>15</v>
      </c>
      <c r="D29" s="19">
        <v>2028</v>
      </c>
      <c r="F29" s="28"/>
      <c r="G29" s="28">
        <f>'Table 5 LCOE inputs'!G54*SUM(F$9:F$14)</f>
        <v>266.2167697986183</v>
      </c>
      <c r="H29" s="28">
        <f>Cnuc*costKnucI*'Escalation Factors'!E29/1000</f>
        <v>74.41178286837982</v>
      </c>
      <c r="I29" s="28">
        <f>(Cnuc*costOMfixnuc/1000+(costOMvarnuc*CFnuc*Cnuc*8766*'Table 5 LCOE inputs'!G$14/1000000000))*('Escalation Factors'!F29)</f>
        <v>129.39232014499822</v>
      </c>
      <c r="J29" s="28">
        <f>(CFnuc*Cnuc*8766*costFnuc*Hnuc)/1000000000*'Escalation Factors'!G29</f>
        <v>107.2959827523373</v>
      </c>
      <c r="K29" s="28">
        <f t="shared" si="0"/>
        <v>7.451099999999999</v>
      </c>
      <c r="V29" s="41"/>
      <c r="Y29" s="122"/>
    </row>
    <row r="30" spans="2:25" ht="12.75">
      <c r="B30" t="s">
        <v>258</v>
      </c>
      <c r="C30" s="19">
        <v>16</v>
      </c>
      <c r="D30" s="19">
        <v>2029</v>
      </c>
      <c r="F30" s="28"/>
      <c r="G30" s="28">
        <f>'Table 5 LCOE inputs'!G55*SUM(F$9:F$14)</f>
        <v>132.8831592057401</v>
      </c>
      <c r="H30" s="28">
        <f>Cnuc*costKnucI*'Escalation Factors'!E30/1000</f>
        <v>76.64413635443123</v>
      </c>
      <c r="I30" s="28">
        <f>(Cnuc*costOMfixnuc/1000+(costOMvarnuc*CFnuc*Cnuc*8766*'Table 5 LCOE inputs'!G$14/1000000000))*('Escalation Factors'!F30)</f>
        <v>134.60683064684164</v>
      </c>
      <c r="J30" s="28">
        <f>(CFnuc*Cnuc*8766*costFnuc*Hnuc)/1000000000*'Escalation Factors'!G30</f>
        <v>111.06743654608195</v>
      </c>
      <c r="K30" s="28">
        <f t="shared" si="0"/>
        <v>7.451099999999999</v>
      </c>
      <c r="V30" s="160"/>
      <c r="Y30" s="159"/>
    </row>
    <row r="31" spans="2:25" ht="12.75">
      <c r="B31" t="s">
        <v>226</v>
      </c>
      <c r="C31" s="19">
        <v>17</v>
      </c>
      <c r="D31" s="19">
        <v>2030</v>
      </c>
      <c r="F31" s="28"/>
      <c r="G31" s="28"/>
      <c r="H31" s="28">
        <f>Cnuc*costKnucI*'Escalation Factors'!E31/1000</f>
        <v>78.94346044506416</v>
      </c>
      <c r="I31" s="28">
        <f>(Cnuc*costOMfixnuc/1000+(costOMvarnuc*CFnuc*Cnuc*8766*'Table 5 LCOE inputs'!G$14/1000000000))*('Escalation Factors'!F31)</f>
        <v>140.0314859219094</v>
      </c>
      <c r="J31" s="28">
        <f>(CFnuc*Cnuc*8766*costFnuc*Hnuc)/1000000000*'Escalation Factors'!G31</f>
        <v>114.97145694067676</v>
      </c>
      <c r="K31" s="28">
        <f t="shared" si="0"/>
        <v>7.451099999999999</v>
      </c>
      <c r="V31" s="158"/>
      <c r="Y31" s="160"/>
    </row>
    <row r="32" spans="2:25" ht="12.75">
      <c r="B32" t="s">
        <v>227</v>
      </c>
      <c r="C32" s="19">
        <v>18</v>
      </c>
      <c r="D32" s="19">
        <v>2031</v>
      </c>
      <c r="F32" s="28"/>
      <c r="G32" s="28"/>
      <c r="H32" s="28">
        <f>Cnuc*costKnucI*'Escalation Factors'!E32/1000</f>
        <v>81.31176425841608</v>
      </c>
      <c r="I32" s="28">
        <f>(Cnuc*costOMfixnuc/1000+(costOMvarnuc*CFnuc*Cnuc*8766*'Table 5 LCOE inputs'!G$14/1000000000))*('Escalation Factors'!F32)</f>
        <v>145.6747548045623</v>
      </c>
      <c r="J32" s="28">
        <f>(CFnuc*Cnuc*8766*costFnuc*Hnuc)/1000000000*'Escalation Factors'!G32</f>
        <v>119.01270365214154</v>
      </c>
      <c r="K32" s="28">
        <f t="shared" si="0"/>
        <v>7.451099999999999</v>
      </c>
      <c r="V32" s="157"/>
      <c r="Y32" s="41"/>
    </row>
    <row r="33" spans="2:25" ht="12.75">
      <c r="B33" t="s">
        <v>228</v>
      </c>
      <c r="C33" s="19">
        <v>19</v>
      </c>
      <c r="D33" s="19">
        <v>2032</v>
      </c>
      <c r="F33" s="28"/>
      <c r="G33" s="28"/>
      <c r="H33" s="28">
        <f>Cnuc*costKnucI*'Escalation Factors'!E33/1000</f>
        <v>83.75111718616856</v>
      </c>
      <c r="I33" s="28">
        <f>(Cnuc*costOMfixnuc/1000+(costOMvarnuc*CFnuc*Cnuc*8766*'Table 5 LCOE inputs'!G$14/1000000000))*('Escalation Factors'!F33)</f>
        <v>151.54544742318618</v>
      </c>
      <c r="J33" s="28">
        <f>(CFnuc*Cnuc*8766*costFnuc*Hnuc)/1000000000*'Escalation Factors'!G33</f>
        <v>123.19600018551432</v>
      </c>
      <c r="K33" s="28">
        <f t="shared" si="0"/>
        <v>7.451099999999999</v>
      </c>
      <c r="V33" s="3"/>
      <c r="Y33" s="41"/>
    </row>
    <row r="34" spans="2:22" ht="12.75">
      <c r="B34" t="s">
        <v>229</v>
      </c>
      <c r="C34" s="19">
        <v>20</v>
      </c>
      <c r="D34" s="19">
        <v>2033</v>
      </c>
      <c r="F34" s="28"/>
      <c r="G34" s="28"/>
      <c r="H34" s="28">
        <f>Cnuc*costKnucI*'Escalation Factors'!E34/1000</f>
        <v>86.26365070175362</v>
      </c>
      <c r="I34" s="28">
        <f>(Cnuc*costOMfixnuc/1000+(costOMvarnuc*CFnuc*Cnuc*8766*'Table 5 LCOE inputs'!G$14/1000000000))*('Escalation Factors'!F34)</f>
        <v>157.65272895434057</v>
      </c>
      <c r="J34" s="28">
        <f>(CFnuc*Cnuc*8766*costFnuc*Hnuc)/1000000000*'Escalation Factors'!G34</f>
        <v>127.52633959203513</v>
      </c>
      <c r="K34" s="28">
        <f t="shared" si="0"/>
        <v>7.451099999999999</v>
      </c>
      <c r="V34" s="3"/>
    </row>
    <row r="35" spans="2:22" ht="12.75">
      <c r="B35" t="s">
        <v>230</v>
      </c>
      <c r="C35" s="19">
        <v>21</v>
      </c>
      <c r="D35" s="19">
        <v>2034</v>
      </c>
      <c r="F35" s="28"/>
      <c r="G35" s="28"/>
      <c r="H35" s="28">
        <f>Cnuc*costKnucI*'Escalation Factors'!E35/1000</f>
        <v>88.85156022280621</v>
      </c>
      <c r="I35" s="28">
        <f>(Cnuc*costOMfixnuc/1000+(costOMvarnuc*CFnuc*Cnuc*8766*'Table 5 LCOE inputs'!G$14/1000000000))*('Escalation Factors'!F35)</f>
        <v>164.0061339312005</v>
      </c>
      <c r="J35" s="28">
        <f>(CFnuc*Cnuc*8766*costFnuc*Hnuc)/1000000000*'Escalation Factors'!G35</f>
        <v>132.0088904286952</v>
      </c>
      <c r="K35" s="28">
        <f t="shared" si="0"/>
        <v>7.451099999999999</v>
      </c>
      <c r="V35" s="3"/>
    </row>
    <row r="36" spans="2:25" ht="12.75">
      <c r="B36" t="s">
        <v>231</v>
      </c>
      <c r="C36" s="19">
        <v>22</v>
      </c>
      <c r="D36" s="19">
        <v>2035</v>
      </c>
      <c r="F36" s="28"/>
      <c r="G36" s="28"/>
      <c r="H36" s="28">
        <f>Cnuc*costKnucI*'Escalation Factors'!E36/1000</f>
        <v>91.5171070294904</v>
      </c>
      <c r="I36" s="28">
        <f>(Cnuc*costOMfixnuc/1000+(costOMvarnuc*CFnuc*Cnuc*8766*'Table 5 LCOE inputs'!G$14/1000000000))*('Escalation Factors'!F36)</f>
        <v>170.61558112862787</v>
      </c>
      <c r="J36" s="28">
        <f>(CFnuc*Cnuc*8766*costFnuc*Hnuc)/1000000000*'Escalation Factors'!G36</f>
        <v>136.64900292726384</v>
      </c>
      <c r="K36" s="28">
        <f t="shared" si="0"/>
        <v>7.451099999999999</v>
      </c>
      <c r="V36" s="3"/>
      <c r="Y36" s="3"/>
    </row>
    <row r="37" spans="2:25" ht="12.75">
      <c r="B37" t="s">
        <v>232</v>
      </c>
      <c r="C37" s="19">
        <v>23</v>
      </c>
      <c r="D37" s="19">
        <v>2036</v>
      </c>
      <c r="F37" s="28"/>
      <c r="G37" s="28"/>
      <c r="H37" s="28">
        <f>Cnuc*costKnucI*'Escalation Factors'!E37/1000</f>
        <v>94.26262024037511</v>
      </c>
      <c r="I37" s="28">
        <f>(Cnuc*costOMfixnuc/1000+(costOMvarnuc*CFnuc*Cnuc*8766*'Table 5 LCOE inputs'!G$14/1000000000))*('Escalation Factors'!F37)</f>
        <v>177.49138904811156</v>
      </c>
      <c r="J37" s="28">
        <f>(CFnuc*Cnuc*8766*costFnuc*Hnuc)/1000000000*'Escalation Factors'!G37</f>
        <v>141.45221538015713</v>
      </c>
      <c r="K37" s="28">
        <f t="shared" si="0"/>
        <v>7.451099999999999</v>
      </c>
      <c r="Y37" s="3"/>
    </row>
    <row r="38" spans="2:25" ht="12.75">
      <c r="B38" t="s">
        <v>233</v>
      </c>
      <c r="C38" s="19">
        <v>24</v>
      </c>
      <c r="D38" s="19">
        <v>2037</v>
      </c>
      <c r="F38" s="28"/>
      <c r="G38" s="28"/>
      <c r="H38" s="28">
        <f>Cnuc*costKnucI*'Escalation Factors'!E38/1000</f>
        <v>97.09049884758636</v>
      </c>
      <c r="I38" s="28">
        <f>(Cnuc*costOMfixnuc/1000+(costOMvarnuc*CFnuc*Cnuc*8766*'Table 5 LCOE inputs'!G$14/1000000000))*('Escalation Factors'!F38)</f>
        <v>184.64429202675046</v>
      </c>
      <c r="J38" s="28">
        <f>(CFnuc*Cnuc*8766*costFnuc*Hnuc)/1000000000*'Escalation Factors'!G38</f>
        <v>146.4242607507697</v>
      </c>
      <c r="K38" s="28">
        <f t="shared" si="0"/>
        <v>7.451099999999999</v>
      </c>
      <c r="Y38" s="3"/>
    </row>
    <row r="39" spans="2:25" ht="12.75">
      <c r="B39" t="s">
        <v>234</v>
      </c>
      <c r="C39" s="19">
        <v>25</v>
      </c>
      <c r="D39" s="19">
        <v>2038</v>
      </c>
      <c r="F39" s="28"/>
      <c r="G39" s="28"/>
      <c r="H39" s="28">
        <f>Cnuc*costKnucI*'Escalation Factors'!E39/1000</f>
        <v>100.00321381301397</v>
      </c>
      <c r="I39" s="28">
        <f>(Cnuc*costOMfixnuc/1000+(costOMvarnuc*CFnuc*Cnuc*8766*'Table 5 LCOE inputs'!G$14/1000000000))*('Escalation Factors'!F39)</f>
        <v>192.0854569954285</v>
      </c>
      <c r="J39" s="28">
        <f>(CFnuc*Cnuc*8766*costFnuc*Hnuc)/1000000000*'Escalation Factors'!G39</f>
        <v>151.57107351615926</v>
      </c>
      <c r="K39" s="28">
        <f t="shared" si="0"/>
        <v>7.451099999999999</v>
      </c>
      <c r="V39" s="3"/>
      <c r="Y39" s="3"/>
    </row>
    <row r="40" spans="2:22" ht="12.75">
      <c r="B40" t="s">
        <v>235</v>
      </c>
      <c r="C40" s="19">
        <v>26</v>
      </c>
      <c r="D40" s="19">
        <v>2039</v>
      </c>
      <c r="F40" s="28"/>
      <c r="G40" s="28"/>
      <c r="H40" s="28">
        <f>Cnuc*costKnucI*'Escalation Factors'!E40/1000</f>
        <v>103.00331022740437</v>
      </c>
      <c r="I40" s="28">
        <f>(Cnuc*costOMfixnuc/1000+(costOMvarnuc*CFnuc*Cnuc*8766*'Table 5 LCOE inputs'!G$14/1000000000))*('Escalation Factors'!F40)</f>
        <v>199.82650091234424</v>
      </c>
      <c r="J40" s="28">
        <f>(CFnuc*Cnuc*8766*costFnuc*Hnuc)/1000000000*'Escalation Factors'!G40</f>
        <v>156.89879675025225</v>
      </c>
      <c r="K40" s="28">
        <f t="shared" si="0"/>
        <v>7.451099999999999</v>
      </c>
      <c r="V40" s="106"/>
    </row>
    <row r="41" spans="2:22" ht="12.75">
      <c r="B41" t="s">
        <v>236</v>
      </c>
      <c r="C41" s="19">
        <v>27</v>
      </c>
      <c r="D41" s="19">
        <v>2040</v>
      </c>
      <c r="F41" s="28"/>
      <c r="G41" s="28"/>
      <c r="H41" s="28">
        <f>Cnuc*costKnucI*'Escalation Factors'!E41/1000</f>
        <v>106.09340953422651</v>
      </c>
      <c r="I41" s="28">
        <f>(Cnuc*costOMfixnuc/1000+(costOMvarnuc*CFnuc*Cnuc*8766*'Table 5 LCOE inputs'!G$14/1000000000))*('Escalation Factors'!F41)</f>
        <v>207.87950889911173</v>
      </c>
      <c r="J41" s="28">
        <f>(CFnuc*Cnuc*8766*costFnuc*Hnuc)/1000000000*'Escalation Factors'!G41</f>
        <v>162.4137894560236</v>
      </c>
      <c r="K41" s="28">
        <f t="shared" si="0"/>
        <v>7.451099999999999</v>
      </c>
      <c r="V41" s="106"/>
    </row>
    <row r="42" spans="2:25" ht="12.75">
      <c r="B42" t="s">
        <v>237</v>
      </c>
      <c r="C42" s="19">
        <v>28</v>
      </c>
      <c r="D42" s="19">
        <v>2041</v>
      </c>
      <c r="F42" s="28"/>
      <c r="G42" s="28"/>
      <c r="H42" s="28">
        <f>Cnuc*costKnucI*'Escalation Factors'!E42/1000</f>
        <v>109.27621182025328</v>
      </c>
      <c r="I42" s="28">
        <f>(Cnuc*costOMfixnuc/1000+(costOMvarnuc*CFnuc*Cnuc*8766*'Table 5 LCOE inputs'!G$14/1000000000))*('Escalation Factors'!F42)</f>
        <v>216.25705310774592</v>
      </c>
      <c r="J42" s="28">
        <f>(CFnuc*Cnuc*8766*costFnuc*Hnuc)/1000000000*'Escalation Factors'!G42</f>
        <v>168.12263415540284</v>
      </c>
      <c r="K42" s="28">
        <f t="shared" si="0"/>
        <v>7.451099999999999</v>
      </c>
      <c r="V42" s="106"/>
      <c r="Y42" s="3"/>
    </row>
    <row r="43" spans="2:25" ht="12.75">
      <c r="B43" t="s">
        <v>238</v>
      </c>
      <c r="C43" s="19">
        <v>29</v>
      </c>
      <c r="D43" s="19">
        <v>2042</v>
      </c>
      <c r="F43" s="28"/>
      <c r="G43" s="28"/>
      <c r="H43" s="28">
        <f>Cnuc*costKnucI*'Escalation Factors'!E43/1000</f>
        <v>112.5544981748609</v>
      </c>
      <c r="I43" s="28">
        <f>(Cnuc*costOMfixnuc/1000+(costOMvarnuc*CFnuc*Cnuc*8766*'Table 5 LCOE inputs'!G$14/1000000000))*('Escalation Factors'!F43)</f>
        <v>224.9722123479881</v>
      </c>
      <c r="J43" s="28">
        <f>(CFnuc*Cnuc*8766*costFnuc*Hnuc)/1000000000*'Escalation Factors'!G43</f>
        <v>174.03214474596524</v>
      </c>
      <c r="K43" s="28">
        <f t="shared" si="0"/>
        <v>7.451099999999999</v>
      </c>
      <c r="Y43" s="106"/>
    </row>
    <row r="44" spans="2:25" ht="12.75">
      <c r="B44" t="s">
        <v>239</v>
      </c>
      <c r="C44" s="19">
        <v>30</v>
      </c>
      <c r="D44" s="19">
        <v>2043</v>
      </c>
      <c r="F44" s="28"/>
      <c r="G44" s="28"/>
      <c r="H44" s="28">
        <f>Cnuc*costKnucI*'Escalation Factors'!E44/1000</f>
        <v>115.93113312010672</v>
      </c>
      <c r="I44" s="28">
        <f>(Cnuc*costOMfixnuc/1000+(costOMvarnuc*CFnuc*Cnuc*8766*'Table 5 LCOE inputs'!G$14/1000000000))*('Escalation Factors'!F44)</f>
        <v>234.03859250561197</v>
      </c>
      <c r="J44" s="28">
        <f>(CFnuc*Cnuc*8766*costFnuc*Hnuc)/1000000000*'Escalation Factors'!G44</f>
        <v>180.14937463378592</v>
      </c>
      <c r="K44" s="28">
        <f t="shared" si="0"/>
        <v>7.451099999999999</v>
      </c>
      <c r="V44" s="106"/>
      <c r="W44" s="3"/>
      <c r="Y44" s="106"/>
    </row>
    <row r="45" spans="2:25" ht="12.75">
      <c r="B45" t="s">
        <v>240</v>
      </c>
      <c r="C45" s="19">
        <v>31</v>
      </c>
      <c r="D45" s="19">
        <v>2044</v>
      </c>
      <c r="F45" s="28"/>
      <c r="G45" s="28"/>
      <c r="H45" s="28">
        <f>Cnuc*costKnucI*'Escalation Factors'!E45/1000</f>
        <v>119.40906711370991</v>
      </c>
      <c r="I45" s="28">
        <f>(Cnuc*costOMfixnuc/1000+(costOMvarnuc*CFnuc*Cnuc*8766*'Table 5 LCOE inputs'!G$14/1000000000))*('Escalation Factors'!F45)</f>
        <v>243.47034778358815</v>
      </c>
      <c r="J45" s="28">
        <f>(CFnuc*Cnuc*8766*costFnuc*Hnuc)/1000000000*'Escalation Factors'!G45</f>
        <v>186.4816251521635</v>
      </c>
      <c r="K45" s="28">
        <f t="shared" si="0"/>
        <v>7.451099999999999</v>
      </c>
      <c r="V45" s="106"/>
      <c r="Y45" s="106"/>
    </row>
    <row r="46" spans="2:11" ht="12.75">
      <c r="B46" t="s">
        <v>241</v>
      </c>
      <c r="C46" s="19">
        <v>32</v>
      </c>
      <c r="D46" s="19">
        <v>2045</v>
      </c>
      <c r="F46" s="28"/>
      <c r="G46" s="28"/>
      <c r="H46" s="28">
        <f>Cnuc*costKnucI*'Escalation Factors'!E46/1000</f>
        <v>122.99133912712121</v>
      </c>
      <c r="I46" s="28">
        <f>(Cnuc*costOMfixnuc/1000+(costOMvarnuc*CFnuc*Cnuc*8766*'Table 5 LCOE inputs'!G$14/1000000000))*('Escalation Factors'!F46)</f>
        <v>253.28220279926677</v>
      </c>
      <c r="J46" s="28">
        <f>(CFnuc*Cnuc*8766*costFnuc*Hnuc)/1000000000*'Escalation Factors'!G46</f>
        <v>193.03645427626208</v>
      </c>
      <c r="K46" s="28">
        <f t="shared" si="0"/>
        <v>7.451099999999999</v>
      </c>
    </row>
    <row r="47" spans="2:26" ht="12.75">
      <c r="B47" t="s">
        <v>242</v>
      </c>
      <c r="C47" s="19">
        <v>33</v>
      </c>
      <c r="D47" s="19">
        <v>2046</v>
      </c>
      <c r="F47" s="28"/>
      <c r="G47" s="28"/>
      <c r="H47" s="28">
        <f>Cnuc*costKnucI*'Escalation Factors'!E47/1000</f>
        <v>126.68107930093485</v>
      </c>
      <c r="I47" s="28">
        <f>(Cnuc*costOMfixnuc/1000+(costOMvarnuc*CFnuc*Cnuc*8766*'Table 5 LCOE inputs'!G$14/1000000000))*('Escalation Factors'!F47)</f>
        <v>263.48947557207725</v>
      </c>
      <c r="J47" s="28">
        <f>(CFnuc*Cnuc*8766*costFnuc*Hnuc)/1000000000*'Escalation Factors'!G47</f>
        <v>199.8216856440727</v>
      </c>
      <c r="K47" s="28">
        <f t="shared" si="0"/>
        <v>7.451099999999999</v>
      </c>
      <c r="Y47" s="106"/>
      <c r="Z47" s="3"/>
    </row>
    <row r="48" spans="2:25" ht="12.75">
      <c r="B48" t="s">
        <v>243</v>
      </c>
      <c r="C48" s="19">
        <v>34</v>
      </c>
      <c r="D48" s="19">
        <v>2047</v>
      </c>
      <c r="F48" s="28"/>
      <c r="G48" s="28"/>
      <c r="H48" s="28">
        <f>Cnuc*costKnucI*'Escalation Factors'!E48/1000</f>
        <v>130.48151167996286</v>
      </c>
      <c r="I48" s="28">
        <f>(Cnuc*costOMfixnuc/1000+(costOMvarnuc*CFnuc*Cnuc*8766*'Table 5 LCOE inputs'!G$14/1000000000))*('Escalation Factors'!F48)</f>
        <v>274.1081014376319</v>
      </c>
      <c r="J48" s="28">
        <f>(CFnuc*Cnuc*8766*costFnuc*Hnuc)/1000000000*'Escalation Factors'!G48</f>
        <v>206.84541789446183</v>
      </c>
      <c r="K48" s="28">
        <f t="shared" si="0"/>
        <v>7.451099999999999</v>
      </c>
      <c r="Y48" s="106"/>
    </row>
    <row r="49" spans="2:11" ht="12.75">
      <c r="B49" t="s">
        <v>244</v>
      </c>
      <c r="C49" s="19">
        <v>35</v>
      </c>
      <c r="D49" s="19">
        <v>2048</v>
      </c>
      <c r="F49" s="28"/>
      <c r="G49" s="28"/>
      <c r="H49" s="28">
        <f>Cnuc*costKnucI*'Escalation Factors'!E49/1000</f>
        <v>134.39595703036179</v>
      </c>
      <c r="I49" s="28">
        <f>(Cnuc*costOMfixnuc/1000+(costOMvarnuc*CFnuc*Cnuc*8766*'Table 5 LCOE inputs'!G$14/1000000000))*('Escalation Factors'!F49)</f>
        <v>285.1546579255684</v>
      </c>
      <c r="J49" s="28">
        <f>(CFnuc*Cnuc*8766*costFnuc*Hnuc)/1000000000*'Escalation Factors'!G49</f>
        <v>214.11603433345218</v>
      </c>
      <c r="K49" s="28">
        <f t="shared" si="0"/>
        <v>7.451099999999999</v>
      </c>
    </row>
    <row r="50" spans="2:11" ht="12.75">
      <c r="B50" t="s">
        <v>245</v>
      </c>
      <c r="C50" s="19">
        <v>36</v>
      </c>
      <c r="D50" s="19">
        <v>2049</v>
      </c>
      <c r="F50" s="28"/>
      <c r="G50" s="28"/>
      <c r="H50" s="28">
        <f>Cnuc*costKnucI*'Escalation Factors'!E50/1000</f>
        <v>138.42783574127265</v>
      </c>
      <c r="I50" s="28">
        <f>(Cnuc*costOMfixnuc/1000+(costOMvarnuc*CFnuc*Cnuc*8766*'Table 5 LCOE inputs'!G$14/1000000000))*('Escalation Factors'!F50)</f>
        <v>296.64639063996884</v>
      </c>
      <c r="J50" s="28">
        <f>(CFnuc*Cnuc*8766*costFnuc*Hnuc)/1000000000*'Escalation Factors'!G50</f>
        <v>221.64221294027303</v>
      </c>
      <c r="K50" s="28">
        <f t="shared" si="0"/>
        <v>7.451099999999999</v>
      </c>
    </row>
    <row r="51" spans="2:11" ht="12.75">
      <c r="B51" t="s">
        <v>246</v>
      </c>
      <c r="C51" s="19">
        <v>37</v>
      </c>
      <c r="D51" s="19">
        <v>2050</v>
      </c>
      <c r="F51" s="28"/>
      <c r="G51" s="28"/>
      <c r="H51" s="28">
        <f>Cnuc*costKnucI*'Escalation Factors'!E51/1000</f>
        <v>142.5806708135108</v>
      </c>
      <c r="I51" s="28">
        <f>(Cnuc*costOMfixnuc/1000+(costOMvarnuc*CFnuc*Cnuc*8766*'Table 5 LCOE inputs'!G$14/1000000000))*('Escalation Factors'!F51)</f>
        <v>308.6012401827596</v>
      </c>
      <c r="J51" s="28">
        <f>(CFnuc*Cnuc*8766*costFnuc*Hnuc)/1000000000*'Escalation Factors'!G51</f>
        <v>229.43293672512362</v>
      </c>
      <c r="K51" s="28">
        <f t="shared" si="0"/>
        <v>7.451099999999999</v>
      </c>
    </row>
    <row r="52" spans="2:11" ht="12.75">
      <c r="B52" t="s">
        <v>247</v>
      </c>
      <c r="C52" s="19">
        <v>38</v>
      </c>
      <c r="D52" s="19">
        <v>2051</v>
      </c>
      <c r="F52" s="28"/>
      <c r="G52" s="28"/>
      <c r="H52" s="28">
        <f>Cnuc*costKnucI*'Escalation Factors'!E52/1000</f>
        <v>146.85809093791613</v>
      </c>
      <c r="I52" s="28">
        <f>(Cnuc*costOMfixnuc/1000+(costOMvarnuc*CFnuc*Cnuc*8766*'Table 5 LCOE inputs'!G$14/1000000000))*('Escalation Factors'!F52)</f>
        <v>321.03787016212476</v>
      </c>
      <c r="J52" s="28">
        <f>(CFnuc*Cnuc*8766*costFnuc*Hnuc)/1000000000*'Escalation Factors'!G52</f>
        <v>237.4975044510117</v>
      </c>
      <c r="K52" s="28">
        <f t="shared" si="0"/>
        <v>7.451099999999999</v>
      </c>
    </row>
    <row r="53" spans="2:11" ht="12.75">
      <c r="B53" t="s">
        <v>248</v>
      </c>
      <c r="C53" s="19">
        <v>39</v>
      </c>
      <c r="D53" s="19">
        <v>2052</v>
      </c>
      <c r="F53" s="28"/>
      <c r="G53" s="28"/>
      <c r="H53" s="28">
        <f>Cnuc*costKnucI*'Escalation Factors'!E53/1000</f>
        <v>151.2638336660536</v>
      </c>
      <c r="I53" s="28">
        <f>(Cnuc*costOMfixnuc/1000+(costOMvarnuc*CFnuc*Cnuc*8766*'Table 5 LCOE inputs'!G$14/1000000000))*('Escalation Factors'!F53)</f>
        <v>333.9756963296584</v>
      </c>
      <c r="J53" s="28">
        <f>(CFnuc*Cnuc*8766*costFnuc*Hnuc)/1000000000*'Escalation Factors'!G53</f>
        <v>245.84554173246477</v>
      </c>
      <c r="K53" s="28">
        <f t="shared" si="0"/>
        <v>7.451099999999999</v>
      </c>
    </row>
    <row r="54" spans="2:11" ht="12.75">
      <c r="B54" t="s">
        <v>249</v>
      </c>
      <c r="C54" s="19">
        <v>40</v>
      </c>
      <c r="D54" s="19">
        <v>2053</v>
      </c>
      <c r="F54" s="28"/>
      <c r="G54" s="28"/>
      <c r="H54" s="28">
        <f>Cnuc*costKnucI*'Escalation Factors'!E54/1000+costDcm*'Escalation Factors'!E54</f>
        <v>2882.332350506651</v>
      </c>
      <c r="I54" s="28">
        <f>(Cnuc*costOMfixnuc/1000+(costOMvarnuc*CFnuc*Cnuc*8766*'Table 5 LCOE inputs'!G$14/1000000000))*('Escalation Factors'!F54)</f>
        <v>347.4349168917437</v>
      </c>
      <c r="J54" s="28">
        <f>(CFnuc*Cnuc*8766*costFnuc*Hnuc)/1000000000*'Escalation Factors'!G54</f>
        <v>254.48701252436092</v>
      </c>
      <c r="K54" s="28">
        <f t="shared" si="0"/>
        <v>7.451099999999999</v>
      </c>
    </row>
    <row r="55" spans="1:12" ht="13.5" thickBot="1">
      <c r="A55" s="9"/>
      <c r="B55" s="43"/>
      <c r="C55" s="75"/>
      <c r="D55" s="75"/>
      <c r="E55" s="9"/>
      <c r="F55" s="9"/>
      <c r="G55" s="9"/>
      <c r="H55" s="79"/>
      <c r="I55" s="9"/>
      <c r="J55" s="9"/>
      <c r="K55" s="79"/>
      <c r="L55" s="9"/>
    </row>
    <row r="57" ht="12.75">
      <c r="B57" s="15" t="s">
        <v>177</v>
      </c>
    </row>
    <row r="58" spans="2:3" ht="12.75">
      <c r="B58" s="15" t="s">
        <v>155</v>
      </c>
      <c r="C58" s="99" t="s">
        <v>562</v>
      </c>
    </row>
    <row r="59" spans="2:3" ht="12.75">
      <c r="B59" s="15" t="s">
        <v>156</v>
      </c>
      <c r="C59" s="99" t="s">
        <v>563</v>
      </c>
    </row>
    <row r="60" spans="2:3" ht="12.75">
      <c r="B60" s="15" t="s">
        <v>157</v>
      </c>
      <c r="C60" s="99" t="s">
        <v>564</v>
      </c>
    </row>
    <row r="61" spans="2:3" ht="12.75">
      <c r="B61" s="15" t="s">
        <v>158</v>
      </c>
      <c r="C61" s="99" t="s">
        <v>565</v>
      </c>
    </row>
    <row r="62" spans="2:3" ht="12.75">
      <c r="B62" s="15" t="s">
        <v>159</v>
      </c>
      <c r="C62" s="99" t="s">
        <v>566</v>
      </c>
    </row>
    <row r="63" spans="2:3" ht="12.75">
      <c r="B63" s="15" t="s">
        <v>210</v>
      </c>
      <c r="C63" s="99" t="s">
        <v>2</v>
      </c>
    </row>
    <row r="64" ht="12.75">
      <c r="C64" s="32"/>
    </row>
  </sheetData>
  <sheetProtection/>
  <printOptions/>
  <pageMargins left="0.75" right="0.5" top="1" bottom="1" header="0.5" footer="0.5"/>
  <pageSetup fitToHeight="2" orientation="portrait" scale="87" r:id="rId1"/>
  <rowBreaks count="1" manualBreakCount="1">
    <brk id="34" max="11" man="1"/>
  </rowBreaks>
</worksheet>
</file>

<file path=xl/worksheets/sheet8.xml><?xml version="1.0" encoding="utf-8"?>
<worksheet xmlns="http://schemas.openxmlformats.org/spreadsheetml/2006/main" xmlns:r="http://schemas.openxmlformats.org/officeDocument/2006/relationships">
  <dimension ref="A1:N113"/>
  <sheetViews>
    <sheetView zoomScalePageLayoutView="0" workbookViewId="0" topLeftCell="C47">
      <selection activeCell="J47" sqref="J47"/>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10" width="11.8515625" style="0" customWidth="1"/>
    <col min="11" max="11" width="2.8515625" style="0" customWidth="1"/>
  </cols>
  <sheetData>
    <row r="1" spans="8:11" ht="12.75">
      <c r="H1" s="20"/>
      <c r="K1" s="20"/>
    </row>
    <row r="2" spans="8:11" ht="12.75">
      <c r="H2" s="20"/>
      <c r="K2" s="20"/>
    </row>
    <row r="3" spans="1:11" ht="16.5" thickBot="1">
      <c r="A3" s="9"/>
      <c r="B3" s="42" t="s">
        <v>406</v>
      </c>
      <c r="C3" s="75"/>
      <c r="D3" s="75"/>
      <c r="E3" s="9"/>
      <c r="F3" s="9"/>
      <c r="G3" s="9"/>
      <c r="H3" s="79"/>
      <c r="I3" s="9"/>
      <c r="J3" s="9"/>
      <c r="K3" s="79"/>
    </row>
    <row r="4" spans="2:11" ht="15.75">
      <c r="B4" s="74"/>
      <c r="H4" s="20"/>
      <c r="K4" s="20"/>
    </row>
    <row r="5" spans="2:11" ht="39">
      <c r="B5" s="74"/>
      <c r="F5" s="22" t="s">
        <v>117</v>
      </c>
      <c r="G5" s="26" t="s">
        <v>112</v>
      </c>
      <c r="H5" s="26"/>
      <c r="I5" s="19" t="s">
        <v>115</v>
      </c>
      <c r="K5" s="20"/>
    </row>
    <row r="6" spans="2:11" ht="26.25">
      <c r="B6" s="74"/>
      <c r="C6" s="22" t="s">
        <v>72</v>
      </c>
      <c r="D6" s="22" t="s">
        <v>73</v>
      </c>
      <c r="E6" s="22"/>
      <c r="F6" s="23" t="s">
        <v>114</v>
      </c>
      <c r="G6" s="26" t="s">
        <v>113</v>
      </c>
      <c r="H6" s="23" t="s">
        <v>110</v>
      </c>
      <c r="I6" s="29" t="s">
        <v>116</v>
      </c>
      <c r="J6" s="23" t="s">
        <v>111</v>
      </c>
      <c r="K6" s="20"/>
    </row>
    <row r="7" spans="1:10" s="22" customFormat="1" ht="12.75" customHeight="1">
      <c r="A7" s="37"/>
      <c r="B7" s="74"/>
      <c r="C7" s="80" t="s">
        <v>153</v>
      </c>
      <c r="D7" s="80" t="s">
        <v>154</v>
      </c>
      <c r="E7" s="80"/>
      <c r="F7" s="81" t="s">
        <v>155</v>
      </c>
      <c r="G7" s="82" t="s">
        <v>156</v>
      </c>
      <c r="H7" s="81" t="s">
        <v>157</v>
      </c>
      <c r="I7" s="82" t="s">
        <v>158</v>
      </c>
      <c r="J7" s="81" t="s">
        <v>159</v>
      </c>
    </row>
    <row r="8" spans="1:11" s="22" customFormat="1" ht="12.75" customHeight="1">
      <c r="A8" s="17"/>
      <c r="B8" s="50"/>
      <c r="F8" s="23"/>
      <c r="G8" s="23"/>
      <c r="H8" s="26"/>
      <c r="I8" s="23"/>
      <c r="J8" s="23"/>
      <c r="K8" s="26"/>
    </row>
    <row r="9" spans="6:11" ht="12.75">
      <c r="F9" s="30"/>
      <c r="G9" s="30"/>
      <c r="H9" s="30"/>
      <c r="I9" s="30"/>
      <c r="J9" s="30"/>
      <c r="K9" s="20"/>
    </row>
    <row r="10" spans="2:11" ht="12.75">
      <c r="B10" s="46" t="s">
        <v>160</v>
      </c>
      <c r="C10" s="19">
        <v>-4</v>
      </c>
      <c r="D10" s="19">
        <v>2009</v>
      </c>
      <c r="F10" s="30">
        <f>'Table 6A LCOE Nuclear cash flow'!F10</f>
        <v>403.142</v>
      </c>
      <c r="G10" s="30"/>
      <c r="H10" s="30"/>
      <c r="I10" s="30"/>
      <c r="J10" s="30">
        <f>SUM(F10:I10)</f>
        <v>403.142</v>
      </c>
      <c r="K10" s="20"/>
    </row>
    <row r="11" spans="2:11" ht="12.75">
      <c r="B11" s="46" t="s">
        <v>161</v>
      </c>
      <c r="C11" s="19">
        <v>-3</v>
      </c>
      <c r="D11" s="19">
        <v>2010</v>
      </c>
      <c r="F11" s="30">
        <f>'Table 6A LCOE Nuclear cash flow'!F11</f>
        <v>1092.727</v>
      </c>
      <c r="G11" s="30"/>
      <c r="H11" s="30"/>
      <c r="I11" s="30"/>
      <c r="J11" s="30">
        <f>SUM(F11:I11)</f>
        <v>1092.727</v>
      </c>
      <c r="K11" s="20"/>
    </row>
    <row r="12" spans="2:11" ht="12.75">
      <c r="B12" s="46" t="s">
        <v>162</v>
      </c>
      <c r="C12" s="19">
        <v>-2</v>
      </c>
      <c r="D12" s="19">
        <v>2011</v>
      </c>
      <c r="F12" s="30">
        <f>'Table 6A LCOE Nuclear cash flow'!F12</f>
        <v>1395.6309244</v>
      </c>
      <c r="G12" s="30"/>
      <c r="H12" s="30"/>
      <c r="I12" s="30"/>
      <c r="J12" s="30">
        <f aca="true" t="shared" si="0" ref="J12:J54">SUM(F12:I12)</f>
        <v>1395.6309244</v>
      </c>
      <c r="K12" s="20"/>
    </row>
    <row r="13" spans="2:11" ht="12.75">
      <c r="B13" s="46" t="s">
        <v>163</v>
      </c>
      <c r="C13" s="19">
        <v>-1</v>
      </c>
      <c r="D13" s="19">
        <v>2012</v>
      </c>
      <c r="F13" s="30">
        <f>'Table 6A LCOE Nuclear cash flow'!F13</f>
        <v>1159.2740743</v>
      </c>
      <c r="G13" s="30"/>
      <c r="H13" s="30"/>
      <c r="I13" s="30"/>
      <c r="J13" s="30">
        <f t="shared" si="0"/>
        <v>1159.2740743</v>
      </c>
      <c r="K13" s="20"/>
    </row>
    <row r="14" spans="2:11" ht="12.75">
      <c r="B14" s="46" t="s">
        <v>164</v>
      </c>
      <c r="C14" s="19">
        <v>0</v>
      </c>
      <c r="D14" s="19">
        <v>2013</v>
      </c>
      <c r="F14" s="30">
        <f>'Table 6A LCOE Nuclear cash flow'!F14</f>
        <v>453.73987268101996</v>
      </c>
      <c r="G14" s="30"/>
      <c r="H14" s="30"/>
      <c r="I14" s="30"/>
      <c r="J14" s="30">
        <f t="shared" si="0"/>
        <v>453.73987268101996</v>
      </c>
      <c r="K14" s="20"/>
    </row>
    <row r="15" spans="2:14" ht="12.75">
      <c r="B15" s="46" t="s">
        <v>165</v>
      </c>
      <c r="C15" s="19">
        <v>1</v>
      </c>
      <c r="D15" s="19">
        <v>2014</v>
      </c>
      <c r="F15" s="30">
        <f>-Taxnuc*'Table 6A LCOE Nuclear cash flow'!G15</f>
        <v>-83.33350662054887</v>
      </c>
      <c r="G15" s="30">
        <f>(1-Taxnuc)*'Table 6A LCOE Nuclear cash flow'!H15</f>
        <v>30.992821408706725</v>
      </c>
      <c r="H15" s="30">
        <f>(1-Taxnuc)*'Table 6A LCOE Nuclear cash flow'!I15</f>
        <v>46.88443329420336</v>
      </c>
      <c r="I15" s="30">
        <f>(1-Taxnuc)*('Table 6A LCOE Nuclear cash flow'!J15+'Table 6A LCOE Nuclear cash flow'!K15)</f>
        <v>46.369422578446965</v>
      </c>
      <c r="J15" s="30">
        <f t="shared" si="0"/>
        <v>40.91317066080818</v>
      </c>
      <c r="K15" s="20"/>
      <c r="N15" s="154" t="s">
        <v>343</v>
      </c>
    </row>
    <row r="16" spans="2:11" ht="12.75">
      <c r="B16" s="46" t="s">
        <v>166</v>
      </c>
      <c r="C16" s="19">
        <v>2</v>
      </c>
      <c r="D16" s="19">
        <v>2015</v>
      </c>
      <c r="F16" s="30">
        <f>-Taxnuc*'Table 6A LCOE Nuclear cash flow'!G16</f>
        <v>-158.33366257904285</v>
      </c>
      <c r="G16" s="30">
        <f>(1-Taxnuc)*'Table 6A LCOE Nuclear cash flow'!H16</f>
        <v>31.92260605096792</v>
      </c>
      <c r="H16" s="30">
        <f>(1-Taxnuc)*'Table 6A LCOE Nuclear cash flow'!I16</f>
        <v>48.77387595595975</v>
      </c>
      <c r="I16" s="30">
        <f>(1-Taxnuc)*('Table 6A LCOE Nuclear cash flow'!J16+'Table 6A LCOE Nuclear cash flow'!K16)</f>
        <v>47.834306898129384</v>
      </c>
      <c r="J16" s="30">
        <f t="shared" si="0"/>
        <v>-29.8028736739858</v>
      </c>
      <c r="K16" s="20"/>
    </row>
    <row r="17" spans="2:11" ht="12.75">
      <c r="B17" s="46" t="s">
        <v>167</v>
      </c>
      <c r="C17" s="19">
        <v>3</v>
      </c>
      <c r="D17" s="19">
        <v>2016</v>
      </c>
      <c r="F17" s="30">
        <f>-Taxnuc*'Table 6A LCOE Nuclear cash flow'!G17</f>
        <v>-142.50029632113856</v>
      </c>
      <c r="G17" s="30">
        <f>(1-Taxnuc)*'Table 6A LCOE Nuclear cash flow'!H17</f>
        <v>32.88028423249696</v>
      </c>
      <c r="H17" s="30">
        <f>(1-Taxnuc)*'Table 6A LCOE Nuclear cash flow'!I17</f>
        <v>50.739463156984925</v>
      </c>
      <c r="I17" s="30">
        <f>(1-Taxnuc)*('Table 6A LCOE Nuclear cash flow'!J17+'Table 6A LCOE Nuclear cash flow'!K17)</f>
        <v>49.35068190164863</v>
      </c>
      <c r="J17" s="30">
        <f t="shared" si="0"/>
        <v>-9.529867030008049</v>
      </c>
      <c r="K17" s="20"/>
    </row>
    <row r="18" spans="2:11" ht="12.75">
      <c r="B18" s="46" t="s">
        <v>168</v>
      </c>
      <c r="C18" s="19">
        <v>4</v>
      </c>
      <c r="D18" s="19">
        <v>2017</v>
      </c>
      <c r="F18" s="30">
        <f>-Taxnuc*'Table 6A LCOE Nuclear cash flow'!G18</f>
        <v>-128.33360019564526</v>
      </c>
      <c r="G18" s="30">
        <f>(1-Taxnuc)*'Table 6A LCOE Nuclear cash flow'!H18</f>
        <v>33.86669275947187</v>
      </c>
      <c r="H18" s="30">
        <f>(1-Taxnuc)*'Table 6A LCOE Nuclear cash flow'!I18</f>
        <v>52.78426352221142</v>
      </c>
      <c r="I18" s="30">
        <f>(1-Taxnuc)*('Table 6A LCOE Nuclear cash flow'!J18+'Table 6A LCOE Nuclear cash flow'!K18)</f>
        <v>50.92035748654157</v>
      </c>
      <c r="J18" s="30">
        <f t="shared" si="0"/>
        <v>9.237713572579601</v>
      </c>
      <c r="K18" s="20"/>
    </row>
    <row r="19" spans="2:11" ht="12.75">
      <c r="B19" s="46" t="s">
        <v>169</v>
      </c>
      <c r="C19" s="19">
        <v>5</v>
      </c>
      <c r="D19" s="19">
        <v>2018</v>
      </c>
      <c r="F19" s="30">
        <f>-Taxnuc*'Table 6A LCOE Nuclear cash flow'!G19</f>
        <v>-115.50024017608074</v>
      </c>
      <c r="G19" s="30">
        <f>(1-Taxnuc)*'Table 6A LCOE Nuclear cash flow'!H19</f>
        <v>34.88269354225603</v>
      </c>
      <c r="H19" s="30">
        <f>(1-Taxnuc)*'Table 6A LCOE Nuclear cash flow'!I19</f>
        <v>54.91146934215655</v>
      </c>
      <c r="I19" s="30">
        <f>(1-Taxnuc)*('Table 6A LCOE Nuclear cash flow'!J19+'Table 6A LCOE Nuclear cash flow'!K19)</f>
        <v>52.545207168243515</v>
      </c>
      <c r="J19" s="30">
        <f t="shared" si="0"/>
        <v>26.839129876575363</v>
      </c>
      <c r="K19" s="20"/>
    </row>
    <row r="20" spans="2:11" ht="12.75">
      <c r="B20" t="s">
        <v>170</v>
      </c>
      <c r="C20" s="19">
        <v>6</v>
      </c>
      <c r="D20" s="19">
        <v>2019</v>
      </c>
      <c r="F20" s="30">
        <f>-Taxnuc*'Table 6A LCOE Nuclear cash flow'!G20</f>
        <v>-103.83354924920391</v>
      </c>
      <c r="G20" s="30">
        <f>(1-Taxnuc)*'Table 6A LCOE Nuclear cash flow'!H20</f>
        <v>35.9291743485237</v>
      </c>
      <c r="H20" s="30">
        <f>(1-Taxnuc)*'Table 6A LCOE Nuclear cash flow'!I20</f>
        <v>57.12440155664545</v>
      </c>
      <c r="I20" s="30">
        <f>(1-Taxnuc)*('Table 6A LCOE Nuclear cash flow'!J20+'Table 6A LCOE Nuclear cash flow'!K20)</f>
        <v>54.22717031625728</v>
      </c>
      <c r="J20" s="30">
        <f t="shared" si="0"/>
        <v>43.44719697222252</v>
      </c>
      <c r="K20" s="20"/>
    </row>
    <row r="21" spans="2:11" ht="12.75">
      <c r="B21" t="s">
        <v>171</v>
      </c>
      <c r="C21" s="19">
        <v>7</v>
      </c>
      <c r="D21" s="19">
        <v>2020</v>
      </c>
      <c r="F21" s="30">
        <f>-Taxnuc*'Table 6A LCOE Nuclear cash flow'!G21</f>
        <v>-98.33353781224767</v>
      </c>
      <c r="G21" s="30">
        <f>(1-Taxnuc)*'Table 6A LCOE Nuclear cash flow'!H21</f>
        <v>37.00704957897941</v>
      </c>
      <c r="H21" s="30">
        <f>(1-Taxnuc)*'Table 6A LCOE Nuclear cash flow'!I21</f>
        <v>59.42651493937826</v>
      </c>
      <c r="I21" s="30">
        <f>(1-Taxnuc)*('Table 6A LCOE Nuclear cash flow'!J21+'Table 6A LCOE Nuclear cash flow'!K21)</f>
        <v>55.96825446892371</v>
      </c>
      <c r="J21" s="30">
        <f t="shared" si="0"/>
        <v>54.06828117503371</v>
      </c>
      <c r="K21" s="20"/>
    </row>
    <row r="22" spans="2:11" ht="12.75">
      <c r="B22" t="s">
        <v>174</v>
      </c>
      <c r="C22" s="19">
        <v>8</v>
      </c>
      <c r="D22" s="19">
        <v>2021</v>
      </c>
      <c r="F22" s="30">
        <f>-Taxnuc*'Table 6A LCOE Nuclear cash flow'!G22</f>
        <v>-98.33353781224767</v>
      </c>
      <c r="G22" s="30">
        <f>(1-Taxnuc)*'Table 6A LCOE Nuclear cash flow'!H22</f>
        <v>38.117261066348796</v>
      </c>
      <c r="H22" s="30">
        <f>(1-Taxnuc)*'Table 6A LCOE Nuclear cash flow'!I22</f>
        <v>61.821403491435206</v>
      </c>
      <c r="I22" s="30">
        <f>(1-Taxnuc)*('Table 6A LCOE Nuclear cash flow'!J22+'Table 6A LCOE Nuclear cash flow'!K22)</f>
        <v>57.770537729556395</v>
      </c>
      <c r="J22" s="30">
        <f t="shared" si="0"/>
        <v>59.37566447509273</v>
      </c>
      <c r="K22" s="20"/>
    </row>
    <row r="23" spans="2:11" ht="12.75">
      <c r="B23" t="s">
        <v>174</v>
      </c>
      <c r="C23" s="19">
        <v>9</v>
      </c>
      <c r="D23" s="19">
        <v>2022</v>
      </c>
      <c r="F23" s="30">
        <f>-Taxnuc*'Table 6A LCOE Nuclear cash flow'!G23</f>
        <v>-98.50020482548878</v>
      </c>
      <c r="G23" s="30">
        <f>(1-Taxnuc)*'Table 6A LCOE Nuclear cash flow'!H23</f>
        <v>39.26077889833926</v>
      </c>
      <c r="H23" s="30">
        <f>(1-Taxnuc)*'Table 6A LCOE Nuclear cash flow'!I23</f>
        <v>64.31280605214003</v>
      </c>
      <c r="I23" s="30">
        <f>(1-Taxnuc)*('Table 6A LCOE Nuclear cash flow'!J23+'Table 6A LCOE Nuclear cash flow'!K23)</f>
        <v>59.63617124680031</v>
      </c>
      <c r="J23" s="30">
        <f t="shared" si="0"/>
        <v>64.70955137179082</v>
      </c>
      <c r="K23" s="20"/>
    </row>
    <row r="24" spans="2:11" ht="12.75">
      <c r="B24" t="s">
        <v>124</v>
      </c>
      <c r="C24" s="19">
        <v>10</v>
      </c>
      <c r="D24" s="19">
        <v>2023</v>
      </c>
      <c r="F24" s="30">
        <f>-Taxnuc*'Table 6A LCOE Nuclear cash flow'!G24</f>
        <v>-98.33353781224767</v>
      </c>
      <c r="G24" s="30">
        <f>(1-Taxnuc)*'Table 6A LCOE Nuclear cash flow'!H24</f>
        <v>40.43860226528943</v>
      </c>
      <c r="H24" s="30">
        <f>(1-Taxnuc)*'Table 6A LCOE Nuclear cash flow'!I24</f>
        <v>66.90461213604128</v>
      </c>
      <c r="I24" s="30">
        <f>(1-Taxnuc)*('Table 6A LCOE Nuclear cash flow'!J24+'Table 6A LCOE Nuclear cash flow'!K24)</f>
        <v>61.56738178217533</v>
      </c>
      <c r="J24" s="30">
        <f t="shared" si="0"/>
        <v>70.57705837125837</v>
      </c>
      <c r="K24" s="20"/>
    </row>
    <row r="25" spans="2:11" ht="12.75">
      <c r="B25" t="s">
        <v>221</v>
      </c>
      <c r="C25" s="19">
        <v>11</v>
      </c>
      <c r="D25" s="19">
        <v>2024</v>
      </c>
      <c r="F25" s="30">
        <f>-Taxnuc*'Table 6A LCOE Nuclear cash flow'!G25</f>
        <v>-98.50020482548878</v>
      </c>
      <c r="G25" s="30">
        <f>(1-Taxnuc)*'Table 6A LCOE Nuclear cash flow'!H25</f>
        <v>41.65176033324811</v>
      </c>
      <c r="H25" s="30">
        <f>(1-Taxnuc)*'Table 6A LCOE Nuclear cash flow'!I25</f>
        <v>69.60086800512374</v>
      </c>
      <c r="I25" s="30">
        <f>(1-Taxnuc)*('Table 6A LCOE Nuclear cash flow'!J25+'Table 6A LCOE Nuclear cash flow'!K25)</f>
        <v>63.56647436786879</v>
      </c>
      <c r="J25" s="30">
        <f t="shared" si="0"/>
        <v>76.31889788075188</v>
      </c>
      <c r="K25" s="20"/>
    </row>
    <row r="26" spans="2:11" ht="12.75">
      <c r="B26" t="s">
        <v>251</v>
      </c>
      <c r="C26" s="19">
        <v>12</v>
      </c>
      <c r="D26" s="19">
        <v>2025</v>
      </c>
      <c r="F26" s="30">
        <f>-Taxnuc*'Table 6A LCOE Nuclear cash flow'!G26</f>
        <v>-98.33353781224767</v>
      </c>
      <c r="G26" s="30">
        <f>(1-Taxnuc)*'Table 6A LCOE Nuclear cash flow'!H26</f>
        <v>42.90131314324557</v>
      </c>
      <c r="H26" s="30">
        <f>(1-Taxnuc)*'Table 6A LCOE Nuclear cash flow'!I26</f>
        <v>72.40578298573023</v>
      </c>
      <c r="I26" s="30">
        <f>(1-Taxnuc)*('Table 6A LCOE Nuclear cash flow'!J26+'Table 6A LCOE Nuclear cash flow'!K26)</f>
        <v>65.63583505794938</v>
      </c>
      <c r="J26" s="30">
        <f t="shared" si="0"/>
        <v>82.6093933746775</v>
      </c>
      <c r="K26" s="20"/>
    </row>
    <row r="27" spans="2:11" ht="12.75">
      <c r="B27" t="s">
        <v>252</v>
      </c>
      <c r="C27" s="19">
        <v>13</v>
      </c>
      <c r="D27" s="19">
        <v>2026</v>
      </c>
      <c r="F27" s="30">
        <f>-Taxnuc*'Table 6A LCOE Nuclear cash flow'!G27</f>
        <v>-98.50020482548878</v>
      </c>
      <c r="G27" s="30">
        <f>(1-Taxnuc)*'Table 6A LCOE Nuclear cash flow'!H27</f>
        <v>44.188352537542926</v>
      </c>
      <c r="H27" s="30">
        <f>(1-Taxnuc)*'Table 6A LCOE Nuclear cash flow'!I27</f>
        <v>75.32373604005515</v>
      </c>
      <c r="I27" s="30">
        <f>(1-Taxnuc)*('Table 6A LCOE Nuclear cash flow'!J27+'Table 6A LCOE Nuclear cash flow'!K27)</f>
        <v>67.7779337762863</v>
      </c>
      <c r="J27" s="30">
        <f t="shared" si="0"/>
        <v>88.7898175283956</v>
      </c>
      <c r="K27" s="20"/>
    </row>
    <row r="28" spans="2:11" ht="12.75">
      <c r="B28" t="s">
        <v>256</v>
      </c>
      <c r="C28" s="19">
        <v>14</v>
      </c>
      <c r="D28" s="19">
        <v>2027</v>
      </c>
      <c r="F28" s="30">
        <f>-Taxnuc*'Table 6A LCOE Nuclear cash flow'!G28</f>
        <v>-98.33353781224767</v>
      </c>
      <c r="G28" s="30">
        <f>(1-Taxnuc)*'Table 6A LCOE Nuclear cash flow'!H28</f>
        <v>45.51400311366921</v>
      </c>
      <c r="H28" s="30">
        <f>(1-Taxnuc)*'Table 6A LCOE Nuclear cash flow'!I28</f>
        <v>78.35928260246936</v>
      </c>
      <c r="I28" s="30">
        <f>(1-Taxnuc)*('Table 6A LCOE Nuclear cash flow'!J28+'Table 6A LCOE Nuclear cash flow'!K28)</f>
        <v>69.99532726457277</v>
      </c>
      <c r="J28" s="30">
        <f t="shared" si="0"/>
        <v>95.53507516846366</v>
      </c>
      <c r="K28" s="20"/>
    </row>
    <row r="29" spans="2:11" ht="12.75">
      <c r="B29" t="s">
        <v>257</v>
      </c>
      <c r="C29" s="19">
        <v>15</v>
      </c>
      <c r="D29" s="19">
        <v>2028</v>
      </c>
      <c r="F29" s="30">
        <f>-Taxnuc*'Table 6A LCOE Nuclear cash flow'!G29</f>
        <v>-98.50020482548878</v>
      </c>
      <c r="G29" s="30">
        <f>(1-Taxnuc)*'Table 6A LCOE Nuclear cash flow'!H29</f>
        <v>46.879423207079284</v>
      </c>
      <c r="H29" s="30">
        <f>(1-Taxnuc)*'Table 6A LCOE Nuclear cash flow'!I29</f>
        <v>81.51716169134887</v>
      </c>
      <c r="I29" s="30">
        <f>(1-Taxnuc)*('Table 6A LCOE Nuclear cash flow'!J29+'Table 6A LCOE Nuclear cash flow'!K29)</f>
        <v>72.29066213397249</v>
      </c>
      <c r="J29" s="30">
        <f t="shared" si="0"/>
        <v>102.18704220691187</v>
      </c>
      <c r="K29" s="20"/>
    </row>
    <row r="30" spans="2:11" ht="12.75">
      <c r="B30" t="s">
        <v>258</v>
      </c>
      <c r="C30" s="19">
        <v>16</v>
      </c>
      <c r="D30" s="19">
        <v>2029</v>
      </c>
      <c r="F30" s="30">
        <f>-Taxnuc*'Table 6A LCOE Nuclear cash flow'!G30</f>
        <v>-49.166768906123835</v>
      </c>
      <c r="G30" s="30">
        <f>(1-Taxnuc)*'Table 6A LCOE Nuclear cash flow'!H30</f>
        <v>48.285805903291674</v>
      </c>
      <c r="H30" s="30">
        <f>(1-Taxnuc)*'Table 6A LCOE Nuclear cash flow'!I30</f>
        <v>84.80230330751024</v>
      </c>
      <c r="I30" s="30">
        <f>(1-Taxnuc)*('Table 6A LCOE Nuclear cash flow'!J30+'Table 6A LCOE Nuclear cash flow'!K30)</f>
        <v>74.66667802403163</v>
      </c>
      <c r="J30" s="30">
        <f t="shared" si="0"/>
        <v>158.58801832870972</v>
      </c>
      <c r="K30" s="20"/>
    </row>
    <row r="31" spans="2:11" ht="12.75">
      <c r="B31" t="s">
        <v>226</v>
      </c>
      <c r="C31" s="19">
        <v>17</v>
      </c>
      <c r="D31" s="19">
        <v>2030</v>
      </c>
      <c r="F31" s="30"/>
      <c r="G31" s="30">
        <f>(1-Taxnuc)*'Table 6A LCOE Nuclear cash flow'!H31</f>
        <v>49.73438008039042</v>
      </c>
      <c r="H31" s="30">
        <f>(1-Taxnuc)*'Table 6A LCOE Nuclear cash flow'!I31</f>
        <v>88.21983613080292</v>
      </c>
      <c r="I31" s="30">
        <f>(1-Taxnuc)*('Table 6A LCOE Nuclear cash flow'!J31+'Table 6A LCOE Nuclear cash flow'!K31)</f>
        <v>77.12621087262636</v>
      </c>
      <c r="J31" s="30">
        <f t="shared" si="0"/>
        <v>215.0804270838197</v>
      </c>
      <c r="K31" s="20"/>
    </row>
    <row r="32" spans="2:11" ht="12.75">
      <c r="B32" t="s">
        <v>227</v>
      </c>
      <c r="C32" s="19">
        <v>18</v>
      </c>
      <c r="D32" s="19">
        <v>2031</v>
      </c>
      <c r="F32" s="30"/>
      <c r="G32" s="30">
        <f>(1-Taxnuc)*'Table 6A LCOE Nuclear cash flow'!H32</f>
        <v>51.22641148280213</v>
      </c>
      <c r="H32" s="30">
        <f>(1-Taxnuc)*'Table 6A LCOE Nuclear cash flow'!I32</f>
        <v>91.77509552687425</v>
      </c>
      <c r="I32" s="30">
        <f>(1-Taxnuc)*('Table 6A LCOE Nuclear cash flow'!J32+'Table 6A LCOE Nuclear cash flow'!K32)</f>
        <v>79.67219630084917</v>
      </c>
      <c r="J32" s="30">
        <f t="shared" si="0"/>
        <v>222.67370331052553</v>
      </c>
      <c r="K32" s="20"/>
    </row>
    <row r="33" spans="2:11" ht="12.75">
      <c r="B33" t="s">
        <v>228</v>
      </c>
      <c r="C33" s="19">
        <v>19</v>
      </c>
      <c r="D33" s="19">
        <v>2032</v>
      </c>
      <c r="F33" s="30"/>
      <c r="G33" s="30">
        <f>(1-Taxnuc)*'Table 6A LCOE Nuclear cash flow'!H33</f>
        <v>52.76320382728619</v>
      </c>
      <c r="H33" s="30">
        <f>(1-Taxnuc)*'Table 6A LCOE Nuclear cash flow'!I33</f>
        <v>95.47363187660729</v>
      </c>
      <c r="I33" s="30">
        <f>(1-Taxnuc)*('Table 6A LCOE Nuclear cash flow'!J33+'Table 6A LCOE Nuclear cash flow'!K33)</f>
        <v>82.30767311687403</v>
      </c>
      <c r="J33" s="30">
        <f t="shared" si="0"/>
        <v>230.54450882076748</v>
      </c>
      <c r="K33" s="20"/>
    </row>
    <row r="34" spans="2:11" ht="12.75">
      <c r="B34" t="s">
        <v>229</v>
      </c>
      <c r="C34" s="19">
        <v>20</v>
      </c>
      <c r="D34" s="19">
        <v>2033</v>
      </c>
      <c r="F34" s="30"/>
      <c r="G34" s="30">
        <f>(1-Taxnuc)*'Table 6A LCOE Nuclear cash flow'!H34</f>
        <v>54.34609994210478</v>
      </c>
      <c r="H34" s="30">
        <f>(1-Taxnuc)*'Table 6A LCOE Nuclear cash flow'!I34</f>
        <v>99.32121924123456</v>
      </c>
      <c r="I34" s="30">
        <f>(1-Taxnuc)*('Table 6A LCOE Nuclear cash flow'!J34+'Table 6A LCOE Nuclear cash flow'!K34)</f>
        <v>85.03578694298213</v>
      </c>
      <c r="J34" s="30">
        <f t="shared" si="0"/>
        <v>238.70310612632147</v>
      </c>
      <c r="K34" s="20"/>
    </row>
    <row r="35" spans="2:11" ht="12.75">
      <c r="B35" t="s">
        <v>230</v>
      </c>
      <c r="C35" s="19">
        <v>21</v>
      </c>
      <c r="D35" s="19">
        <v>2034</v>
      </c>
      <c r="F35" s="30"/>
      <c r="G35" s="30">
        <f>(1-Taxnuc)*'Table 6A LCOE Nuclear cash flow'!H35</f>
        <v>55.976482940367916</v>
      </c>
      <c r="H35" s="30">
        <f>(1-Taxnuc)*'Table 6A LCOE Nuclear cash flow'!I35</f>
        <v>103.32386437665632</v>
      </c>
      <c r="I35" s="30">
        <f>(1-Taxnuc)*('Table 6A LCOE Nuclear cash flow'!J35+'Table 6A LCOE Nuclear cash flow'!K35)</f>
        <v>87.85979397007797</v>
      </c>
      <c r="J35" s="30">
        <f t="shared" si="0"/>
        <v>247.1601412871022</v>
      </c>
      <c r="K35" s="20"/>
    </row>
    <row r="36" spans="2:11" ht="12.75">
      <c r="B36" t="s">
        <v>231</v>
      </c>
      <c r="C36" s="19">
        <v>22</v>
      </c>
      <c r="D36" s="19">
        <v>2035</v>
      </c>
      <c r="F36" s="30"/>
      <c r="G36" s="30">
        <f>(1-Taxnuc)*'Table 6A LCOE Nuclear cash flow'!H36</f>
        <v>57.65577742857896</v>
      </c>
      <c r="H36" s="30">
        <f>(1-Taxnuc)*'Table 6A LCOE Nuclear cash flow'!I36</f>
        <v>107.48781611103556</v>
      </c>
      <c r="I36" s="30">
        <f>(1-Taxnuc)*('Table 6A LCOE Nuclear cash flow'!J36+'Table 6A LCOE Nuclear cash flow'!K36)</f>
        <v>90.78306484417621</v>
      </c>
      <c r="J36" s="30">
        <f t="shared" si="0"/>
        <v>255.92665838379074</v>
      </c>
      <c r="K36" s="20"/>
    </row>
    <row r="37" spans="2:11" ht="12.75">
      <c r="B37" t="s">
        <v>232</v>
      </c>
      <c r="C37" s="19">
        <v>23</v>
      </c>
      <c r="D37" s="19">
        <v>2036</v>
      </c>
      <c r="F37" s="30"/>
      <c r="G37" s="30">
        <f>(1-Taxnuc)*'Table 6A LCOE Nuclear cash flow'!H37</f>
        <v>59.38545075143632</v>
      </c>
      <c r="H37" s="30">
        <f>(1-Taxnuc)*'Table 6A LCOE Nuclear cash flow'!I37</f>
        <v>111.81957510031029</v>
      </c>
      <c r="I37" s="30">
        <f>(1-Taxnuc)*('Table 6A LCOE Nuclear cash flow'!J37+'Table 6A LCOE Nuclear cash flow'!K37)</f>
        <v>93.80908868949899</v>
      </c>
      <c r="J37" s="30">
        <f t="shared" si="0"/>
        <v>265.0141145412456</v>
      </c>
      <c r="K37" s="20"/>
    </row>
    <row r="38" spans="2:11" ht="12.75">
      <c r="B38" t="s">
        <v>233</v>
      </c>
      <c r="C38" s="19">
        <v>24</v>
      </c>
      <c r="D38" s="19">
        <v>2037</v>
      </c>
      <c r="F38" s="30"/>
      <c r="G38" s="30">
        <f>(1-Taxnuc)*'Table 6A LCOE Nuclear cash flow'!H38</f>
        <v>61.167014273979404</v>
      </c>
      <c r="H38" s="30">
        <f>(1-Taxnuc)*'Table 6A LCOE Nuclear cash flow'!I38</f>
        <v>116.32590397685279</v>
      </c>
      <c r="I38" s="30">
        <f>(1-Taxnuc)*('Table 6A LCOE Nuclear cash flow'!J38+'Table 6A LCOE Nuclear cash flow'!K38)</f>
        <v>96.9414772729849</v>
      </c>
      <c r="J38" s="30">
        <f t="shared" si="0"/>
        <v>274.4343955238171</v>
      </c>
      <c r="K38" s="20"/>
    </row>
    <row r="39" spans="2:11" ht="12.75">
      <c r="B39" t="s">
        <v>234</v>
      </c>
      <c r="C39" s="19">
        <v>25</v>
      </c>
      <c r="D39" s="19">
        <v>2038</v>
      </c>
      <c r="F39" s="30"/>
      <c r="G39" s="30">
        <f>(1-Taxnuc)*'Table 6A LCOE Nuclear cash flow'!H39</f>
        <v>63.0020247021988</v>
      </c>
      <c r="H39" s="30">
        <f>(1-Taxnuc)*'Table 6A LCOE Nuclear cash flow'!I39</f>
        <v>121.01383790711995</v>
      </c>
      <c r="I39" s="30">
        <f>(1-Taxnuc)*('Table 6A LCOE Nuclear cash flow'!J39+'Table 6A LCOE Nuclear cash flow'!K39)</f>
        <v>100.18396931518033</v>
      </c>
      <c r="J39" s="30">
        <f t="shared" si="0"/>
        <v>284.1998319244991</v>
      </c>
      <c r="K39" s="20"/>
    </row>
    <row r="40" spans="2:11" ht="12.75">
      <c r="B40" t="s">
        <v>235</v>
      </c>
      <c r="C40" s="19">
        <v>26</v>
      </c>
      <c r="D40" s="19">
        <v>2039</v>
      </c>
      <c r="F40" s="30"/>
      <c r="G40" s="30">
        <f>(1-Taxnuc)*'Table 6A LCOE Nuclear cash flow'!H40</f>
        <v>64.89208544326475</v>
      </c>
      <c r="H40" s="30">
        <f>(1-Taxnuc)*'Table 6A LCOE Nuclear cash flow'!I40</f>
        <v>125.89069557477687</v>
      </c>
      <c r="I40" s="30">
        <f>(1-Taxnuc)*('Table 6A LCOE Nuclear cash flow'!J40+'Table 6A LCOE Nuclear cash flow'!K40)</f>
        <v>103.54043495265891</v>
      </c>
      <c r="J40" s="30">
        <f t="shared" si="0"/>
        <v>294.3232159707005</v>
      </c>
      <c r="K40" s="20"/>
    </row>
    <row r="41" spans="2:11" ht="12.75">
      <c r="B41" t="s">
        <v>236</v>
      </c>
      <c r="C41" s="19">
        <v>27</v>
      </c>
      <c r="D41" s="19">
        <v>2040</v>
      </c>
      <c r="F41" s="30"/>
      <c r="G41" s="30">
        <f>(1-Taxnuc)*'Table 6A LCOE Nuclear cash flow'!H41</f>
        <v>66.8388480065627</v>
      </c>
      <c r="H41" s="30">
        <f>(1-Taxnuc)*'Table 6A LCOE Nuclear cash flow'!I41</f>
        <v>130.96409060644038</v>
      </c>
      <c r="I41" s="30">
        <f>(1-Taxnuc)*('Table 6A LCOE Nuclear cash flow'!J41+'Table 6A LCOE Nuclear cash flow'!K41)</f>
        <v>107.01488035729487</v>
      </c>
      <c r="J41" s="30">
        <f t="shared" si="0"/>
        <v>304.81781897029794</v>
      </c>
      <c r="K41" s="20"/>
    </row>
    <row r="42" spans="2:11" ht="12.75">
      <c r="B42" t="s">
        <v>237</v>
      </c>
      <c r="C42" s="19">
        <v>28</v>
      </c>
      <c r="D42" s="19">
        <v>2041</v>
      </c>
      <c r="F42" s="30"/>
      <c r="G42" s="30">
        <f>(1-Taxnuc)*'Table 6A LCOE Nuclear cash flow'!H42</f>
        <v>68.84401344675956</v>
      </c>
      <c r="H42" s="30">
        <f>(1-Taxnuc)*'Table 6A LCOE Nuclear cash flow'!I42</f>
        <v>136.24194345787993</v>
      </c>
      <c r="I42" s="30">
        <f>(1-Taxnuc)*('Table 6A LCOE Nuclear cash flow'!J42+'Table 6A LCOE Nuclear cash flow'!K42)</f>
        <v>110.61145251790379</v>
      </c>
      <c r="J42" s="30">
        <f t="shared" si="0"/>
        <v>315.6974094225433</v>
      </c>
      <c r="K42" s="20"/>
    </row>
    <row r="43" spans="2:11" ht="12.75">
      <c r="B43" t="s">
        <v>238</v>
      </c>
      <c r="C43" s="19">
        <v>29</v>
      </c>
      <c r="D43" s="19">
        <v>2042</v>
      </c>
      <c r="F43" s="30"/>
      <c r="G43" s="30">
        <f>(1-Taxnuc)*'Table 6A LCOE Nuclear cash flow'!H43</f>
        <v>70.90933385016237</v>
      </c>
      <c r="H43" s="30">
        <f>(1-Taxnuc)*'Table 6A LCOE Nuclear cash flow'!I43</f>
        <v>141.7324937792325</v>
      </c>
      <c r="I43" s="30">
        <f>(1-Taxnuc)*('Table 6A LCOE Nuclear cash flow'!J43+'Table 6A LCOE Nuclear cash flow'!K43)</f>
        <v>114.3344441899581</v>
      </c>
      <c r="J43" s="30">
        <f t="shared" si="0"/>
        <v>326.976271819353</v>
      </c>
      <c r="K43" s="20"/>
    </row>
    <row r="44" spans="2:11" ht="12.75">
      <c r="B44" t="s">
        <v>239</v>
      </c>
      <c r="C44" s="19">
        <v>30</v>
      </c>
      <c r="D44" s="19">
        <v>2043</v>
      </c>
      <c r="F44" s="30"/>
      <c r="G44" s="30">
        <f>(1-Taxnuc)*'Table 6A LCOE Nuclear cash flow'!H44</f>
        <v>73.03661386566723</v>
      </c>
      <c r="H44" s="30">
        <f>(1-Taxnuc)*'Table 6A LCOE Nuclear cash flow'!I44</f>
        <v>147.44431327853553</v>
      </c>
      <c r="I44" s="30">
        <f>(1-Taxnuc)*('Table 6A LCOE Nuclear cash flow'!J44+'Table 6A LCOE Nuclear cash flow'!K44)</f>
        <v>118.18829901928513</v>
      </c>
      <c r="J44" s="30">
        <f t="shared" si="0"/>
        <v>338.6692261634879</v>
      </c>
      <c r="K44" s="20"/>
    </row>
    <row r="45" spans="2:11" ht="12.75">
      <c r="B45" t="s">
        <v>240</v>
      </c>
      <c r="C45" s="19">
        <v>31</v>
      </c>
      <c r="D45" s="19">
        <v>2044</v>
      </c>
      <c r="F45" s="30"/>
      <c r="G45" s="30">
        <f>(1-Taxnuc)*'Table 6A LCOE Nuclear cash flow'!H45</f>
        <v>75.22771228163724</v>
      </c>
      <c r="H45" s="30">
        <f>(1-Taxnuc)*'Table 6A LCOE Nuclear cash flow'!I45</f>
        <v>153.38631910366053</v>
      </c>
      <c r="I45" s="30">
        <f>(1-Taxnuc)*('Table 6A LCOE Nuclear cash flow'!J45+'Table 6A LCOE Nuclear cash flow'!K45)</f>
        <v>122.177616845863</v>
      </c>
      <c r="J45" s="30">
        <f t="shared" si="0"/>
        <v>350.79164823116076</v>
      </c>
      <c r="K45" s="20"/>
    </row>
    <row r="46" spans="2:11" ht="12.75">
      <c r="B46" t="s">
        <v>241</v>
      </c>
      <c r="C46" s="19">
        <v>32</v>
      </c>
      <c r="D46" s="19">
        <v>2045</v>
      </c>
      <c r="F46" s="30"/>
      <c r="G46" s="30">
        <f>(1-Taxnuc)*'Table 6A LCOE Nuclear cash flow'!H46</f>
        <v>77.48454365008637</v>
      </c>
      <c r="H46" s="30">
        <f>(1-Taxnuc)*'Table 6A LCOE Nuclear cash flow'!I46</f>
        <v>159.56778776353806</v>
      </c>
      <c r="I46" s="30">
        <f>(1-Taxnuc)*('Table 6A LCOE Nuclear cash flow'!J46+'Table 6A LCOE Nuclear cash flow'!K46)</f>
        <v>126.30715919404511</v>
      </c>
      <c r="J46" s="30">
        <f t="shared" si="0"/>
        <v>363.3594906076695</v>
      </c>
      <c r="K46" s="20"/>
    </row>
    <row r="47" spans="2:11" ht="12.75">
      <c r="B47" t="s">
        <v>242</v>
      </c>
      <c r="C47" s="19">
        <v>33</v>
      </c>
      <c r="D47" s="19">
        <v>2046</v>
      </c>
      <c r="F47" s="30"/>
      <c r="G47" s="30">
        <f>(1-Taxnuc)*'Table 6A LCOE Nuclear cash flow'!H47</f>
        <v>79.80907995958896</v>
      </c>
      <c r="H47" s="30">
        <f>(1-Taxnuc)*'Table 6A LCOE Nuclear cash flow'!I47</f>
        <v>165.99836961040867</v>
      </c>
      <c r="I47" s="30">
        <f>(1-Taxnuc)*('Table 6A LCOE Nuclear cash flow'!J47+'Table 6A LCOE Nuclear cash flow'!K47)</f>
        <v>130.5818549557658</v>
      </c>
      <c r="J47" s="30">
        <f t="shared" si="0"/>
        <v>376.38930452576346</v>
      </c>
      <c r="K47" s="20"/>
    </row>
    <row r="48" spans="2:11" ht="12.75">
      <c r="B48" t="s">
        <v>243</v>
      </c>
      <c r="C48" s="19">
        <v>34</v>
      </c>
      <c r="D48" s="19">
        <v>2047</v>
      </c>
      <c r="F48" s="30"/>
      <c r="G48" s="30">
        <f>(1-Taxnuc)*'Table 6A LCOE Nuclear cash flow'!H48</f>
        <v>82.2033523583766</v>
      </c>
      <c r="H48" s="30">
        <f>(1-Taxnuc)*'Table 6A LCOE Nuclear cash flow'!I48</f>
        <v>172.6881039057081</v>
      </c>
      <c r="I48" s="30">
        <f>(1-Taxnuc)*('Table 6A LCOE Nuclear cash flow'!J48+'Table 6A LCOE Nuclear cash flow'!K48)</f>
        <v>135.00680627351096</v>
      </c>
      <c r="J48" s="30">
        <f t="shared" si="0"/>
        <v>389.89826253759566</v>
      </c>
      <c r="K48" s="20"/>
    </row>
    <row r="49" spans="2:11" ht="12.75">
      <c r="B49" t="s">
        <v>244</v>
      </c>
      <c r="C49" s="19">
        <v>35</v>
      </c>
      <c r="D49" s="19">
        <v>2048</v>
      </c>
      <c r="F49" s="30"/>
      <c r="G49" s="30">
        <f>(1-Taxnuc)*'Table 6A LCOE Nuclear cash flow'!H49</f>
        <v>84.66945292912793</v>
      </c>
      <c r="H49" s="30">
        <f>(1-Taxnuc)*'Table 6A LCOE Nuclear cash flow'!I49</f>
        <v>179.6474344931081</v>
      </c>
      <c r="I49" s="30">
        <f>(1-Taxnuc)*('Table 6A LCOE Nuclear cash flow'!J49+'Table 6A LCOE Nuclear cash flow'!K49)</f>
        <v>139.58729463007487</v>
      </c>
      <c r="J49" s="30">
        <f t="shared" si="0"/>
        <v>403.90418205231094</v>
      </c>
      <c r="K49" s="20"/>
    </row>
    <row r="50" spans="2:11" ht="12.75">
      <c r="B50" t="s">
        <v>245</v>
      </c>
      <c r="C50" s="19">
        <v>36</v>
      </c>
      <c r="D50" s="19">
        <v>2049</v>
      </c>
      <c r="F50" s="30"/>
      <c r="G50" s="30">
        <f>(1-Taxnuc)*'Table 6A LCOE Nuclear cash flow'!H50</f>
        <v>87.20953651700177</v>
      </c>
      <c r="H50" s="30">
        <f>(1-Taxnuc)*'Table 6A LCOE Nuclear cash flow'!I50</f>
        <v>186.88722610318038</v>
      </c>
      <c r="I50" s="30">
        <f>(1-Taxnuc)*('Table 6A LCOE Nuclear cash flow'!J50+'Table 6A LCOE Nuclear cash flow'!K50)</f>
        <v>144.328787152372</v>
      </c>
      <c r="J50" s="30">
        <f t="shared" si="0"/>
        <v>418.4255497725542</v>
      </c>
      <c r="K50" s="20"/>
    </row>
    <row r="51" spans="2:11" ht="12.75">
      <c r="B51" t="s">
        <v>246</v>
      </c>
      <c r="C51" s="19">
        <v>37</v>
      </c>
      <c r="D51" s="19">
        <v>2050</v>
      </c>
      <c r="F51" s="30"/>
      <c r="G51" s="30">
        <f>(1-Taxnuc)*'Table 6A LCOE Nuclear cash flow'!H51</f>
        <v>89.82582261251181</v>
      </c>
      <c r="H51" s="30">
        <f>(1-Taxnuc)*'Table 6A LCOE Nuclear cash flow'!I51</f>
        <v>194.41878131513857</v>
      </c>
      <c r="I51" s="30">
        <f>(1-Taxnuc)*('Table 6A LCOE Nuclear cash flow'!J51+'Table 6A LCOE Nuclear cash flow'!K51)</f>
        <v>149.23694313682788</v>
      </c>
      <c r="J51" s="30">
        <f t="shared" si="0"/>
        <v>433.48154706447826</v>
      </c>
      <c r="K51" s="20"/>
    </row>
    <row r="52" spans="2:11" ht="12.75">
      <c r="B52" t="s">
        <v>247</v>
      </c>
      <c r="C52" s="19">
        <v>38</v>
      </c>
      <c r="D52" s="19">
        <v>2051</v>
      </c>
      <c r="F52" s="30"/>
      <c r="G52" s="30">
        <f>(1-Taxnuc)*'Table 6A LCOE Nuclear cash flow'!H52</f>
        <v>92.52059729088717</v>
      </c>
      <c r="H52" s="30">
        <f>(1-Taxnuc)*'Table 6A LCOE Nuclear cash flow'!I52</f>
        <v>202.2538582021386</v>
      </c>
      <c r="I52" s="30">
        <f>(1-Taxnuc)*('Table 6A LCOE Nuclear cash flow'!J52+'Table 6A LCOE Nuclear cash flow'!K52)</f>
        <v>154.31762080413736</v>
      </c>
      <c r="J52" s="30">
        <f t="shared" si="0"/>
        <v>449.0920762971631</v>
      </c>
      <c r="K52" s="20"/>
    </row>
    <row r="53" spans="2:11" ht="12.75">
      <c r="B53" t="s">
        <v>248</v>
      </c>
      <c r="C53" s="19">
        <v>39</v>
      </c>
      <c r="D53" s="19">
        <v>2052</v>
      </c>
      <c r="F53" s="30"/>
      <c r="G53" s="30">
        <f>(1-Taxnuc)*'Table 6A LCOE Nuclear cash flow'!H53</f>
        <v>95.29621520961378</v>
      </c>
      <c r="H53" s="30">
        <f>(1-Taxnuc)*'Table 6A LCOE Nuclear cash flow'!I53</f>
        <v>210.40468868768477</v>
      </c>
      <c r="I53" s="30">
        <f>(1-Taxnuc)*('Table 6A LCOE Nuclear cash flow'!J53+'Table 6A LCOE Nuclear cash flow'!K53)</f>
        <v>159.5768842914528</v>
      </c>
      <c r="J53" s="30">
        <f t="shared" si="0"/>
        <v>465.27778818875134</v>
      </c>
      <c r="K53" s="20"/>
    </row>
    <row r="54" spans="2:11" ht="12.75">
      <c r="B54" t="s">
        <v>249</v>
      </c>
      <c r="C54" s="19">
        <v>40</v>
      </c>
      <c r="D54" s="19">
        <v>2053</v>
      </c>
      <c r="F54" s="30"/>
      <c r="G54" s="30">
        <f>(1-Taxnuc)*'Table 6A LCOE Nuclear cash flow'!H54</f>
        <v>1815.8693808191902</v>
      </c>
      <c r="H54" s="30">
        <f>(1-Taxnuc)*'Table 6A LCOE Nuclear cash flow'!I54</f>
        <v>218.88399764179852</v>
      </c>
      <c r="I54" s="30">
        <f>(1-Taxnuc)*('Table 6A LCOE Nuclear cash flow'!J54+'Table 6A LCOE Nuclear cash flow'!K54)</f>
        <v>165.02101089034738</v>
      </c>
      <c r="J54" s="30">
        <f t="shared" si="0"/>
        <v>2199.774389351336</v>
      </c>
      <c r="K54" s="20"/>
    </row>
    <row r="55" spans="1:11" ht="13.5" thickBot="1">
      <c r="A55" s="9"/>
      <c r="B55" s="43"/>
      <c r="C55" s="75"/>
      <c r="D55" s="75"/>
      <c r="E55" s="9"/>
      <c r="F55" s="9"/>
      <c r="G55" s="9"/>
      <c r="H55" s="9"/>
      <c r="I55" s="9"/>
      <c r="J55" s="9"/>
      <c r="K55" s="9"/>
    </row>
    <row r="57" spans="1:4" ht="12.75">
      <c r="A57"/>
      <c r="B57" s="15" t="s">
        <v>177</v>
      </c>
      <c r="C57" s="100"/>
      <c r="D57"/>
    </row>
    <row r="58" spans="1:4" ht="12.75">
      <c r="A58"/>
      <c r="B58" s="15" t="s">
        <v>155</v>
      </c>
      <c r="C58" s="99" t="s">
        <v>567</v>
      </c>
      <c r="D58"/>
    </row>
    <row r="59" spans="1:4" ht="12.75">
      <c r="A59"/>
      <c r="B59" s="15" t="s">
        <v>156</v>
      </c>
      <c r="C59" s="99" t="s">
        <v>568</v>
      </c>
      <c r="D59"/>
    </row>
    <row r="60" spans="1:4" ht="12.75">
      <c r="A60"/>
      <c r="B60" s="15" t="s">
        <v>157</v>
      </c>
      <c r="C60" s="99" t="s">
        <v>569</v>
      </c>
      <c r="D60"/>
    </row>
    <row r="61" spans="1:4" ht="12.75">
      <c r="A61"/>
      <c r="B61" s="15" t="s">
        <v>158</v>
      </c>
      <c r="C61" s="99" t="s">
        <v>570</v>
      </c>
      <c r="D61"/>
    </row>
    <row r="62" spans="1:4" ht="12.75">
      <c r="A62"/>
      <c r="B62" s="15" t="s">
        <v>159</v>
      </c>
      <c r="C62" s="99" t="s">
        <v>28</v>
      </c>
      <c r="D62"/>
    </row>
    <row r="63" spans="1:4" ht="12.75">
      <c r="A63"/>
      <c r="B63"/>
      <c r="C63"/>
      <c r="D63"/>
    </row>
    <row r="64" spans="1:4" ht="12.75">
      <c r="A64"/>
      <c r="B64"/>
      <c r="C64"/>
      <c r="D64"/>
    </row>
    <row r="65" spans="1:4" ht="12.75">
      <c r="A65"/>
      <c r="B65"/>
      <c r="C65"/>
      <c r="D65"/>
    </row>
    <row r="66" spans="1:4" ht="12.75">
      <c r="A66"/>
      <c r="B66"/>
      <c r="C66"/>
      <c r="D66"/>
    </row>
    <row r="67" spans="1:4" ht="12.75">
      <c r="A67"/>
      <c r="B67"/>
      <c r="C67"/>
      <c r="D67"/>
    </row>
    <row r="68" spans="1:4" ht="12.75">
      <c r="A68"/>
      <c r="B68"/>
      <c r="C68"/>
      <c r="D68"/>
    </row>
    <row r="69" spans="1:4" ht="12.75">
      <c r="A69"/>
      <c r="B69"/>
      <c r="C69"/>
      <c r="D69"/>
    </row>
    <row r="70" spans="1:4" ht="12.75">
      <c r="A70"/>
      <c r="B70"/>
      <c r="C70"/>
      <c r="D70"/>
    </row>
    <row r="71" spans="1:4" ht="12.75">
      <c r="A71"/>
      <c r="B71"/>
      <c r="C71"/>
      <c r="D71"/>
    </row>
    <row r="72" spans="1:4" ht="12.75">
      <c r="A72"/>
      <c r="B72"/>
      <c r="C72"/>
      <c r="D72"/>
    </row>
    <row r="73" spans="1:4" ht="12.75">
      <c r="A73"/>
      <c r="B73"/>
      <c r="C73"/>
      <c r="D73"/>
    </row>
    <row r="74" spans="1:4" ht="12.75">
      <c r="A74"/>
      <c r="B74"/>
      <c r="C74"/>
      <c r="D74"/>
    </row>
    <row r="75" spans="1:4" ht="12.75">
      <c r="A75"/>
      <c r="B75"/>
      <c r="C75"/>
      <c r="D75"/>
    </row>
    <row r="76" spans="1:4" ht="12.75">
      <c r="A76"/>
      <c r="B76"/>
      <c r="C76"/>
      <c r="D76"/>
    </row>
    <row r="77" spans="1:4" ht="12.75">
      <c r="A77"/>
      <c r="B77"/>
      <c r="C77"/>
      <c r="D77"/>
    </row>
    <row r="78" spans="1:4" ht="12.75">
      <c r="A78"/>
      <c r="B78"/>
      <c r="C78"/>
      <c r="D78"/>
    </row>
    <row r="79" spans="1:4" ht="12.75">
      <c r="A79"/>
      <c r="B79"/>
      <c r="C79"/>
      <c r="D79"/>
    </row>
    <row r="80" spans="1:4" ht="12.75">
      <c r="A80"/>
      <c r="B80"/>
      <c r="C80"/>
      <c r="D80"/>
    </row>
    <row r="81" spans="1:4" ht="12.75">
      <c r="A81"/>
      <c r="B81"/>
      <c r="C81"/>
      <c r="D81"/>
    </row>
    <row r="82" spans="1:4" ht="12.75">
      <c r="A82"/>
      <c r="B82"/>
      <c r="C82"/>
      <c r="D82"/>
    </row>
    <row r="83" spans="1:4" ht="12.75">
      <c r="A83"/>
      <c r="B83"/>
      <c r="C83"/>
      <c r="D83"/>
    </row>
    <row r="84" spans="1:4" ht="12.75">
      <c r="A84"/>
      <c r="B84"/>
      <c r="C84"/>
      <c r="D84"/>
    </row>
    <row r="85" spans="1:4" ht="12.75">
      <c r="A85"/>
      <c r="B85"/>
      <c r="C85"/>
      <c r="D85"/>
    </row>
    <row r="86" spans="1:4" ht="12.75">
      <c r="A86"/>
      <c r="B86"/>
      <c r="C86"/>
      <c r="D86"/>
    </row>
    <row r="87" spans="1:4" ht="12.75">
      <c r="A87"/>
      <c r="B87"/>
      <c r="C87"/>
      <c r="D87"/>
    </row>
    <row r="88" spans="1:4" ht="12.75">
      <c r="A88"/>
      <c r="B88"/>
      <c r="C88"/>
      <c r="D88"/>
    </row>
    <row r="89" spans="1:4" ht="12.75">
      <c r="A89"/>
      <c r="B89"/>
      <c r="C89"/>
      <c r="D89"/>
    </row>
    <row r="90" spans="1:4" ht="12.75">
      <c r="A90"/>
      <c r="B90"/>
      <c r="C90"/>
      <c r="D90"/>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row r="96" spans="1:4" ht="12.75">
      <c r="A96"/>
      <c r="B96"/>
      <c r="C96"/>
      <c r="D96"/>
    </row>
    <row r="97" spans="1:4" ht="12.75">
      <c r="A97"/>
      <c r="B97"/>
      <c r="C97"/>
      <c r="D97"/>
    </row>
    <row r="98" spans="1:4" ht="12.75">
      <c r="A98"/>
      <c r="B98"/>
      <c r="C98"/>
      <c r="D98"/>
    </row>
    <row r="99" spans="1:4" ht="12.75">
      <c r="A99"/>
      <c r="B99"/>
      <c r="C99"/>
      <c r="D99"/>
    </row>
    <row r="100" spans="1:4" ht="12.75">
      <c r="A100"/>
      <c r="B100"/>
      <c r="C100"/>
      <c r="D100"/>
    </row>
    <row r="101" spans="1:4" ht="12.75">
      <c r="A101"/>
      <c r="B101"/>
      <c r="C101"/>
      <c r="D101"/>
    </row>
    <row r="102" spans="1:4" ht="12.75">
      <c r="A102"/>
      <c r="B102"/>
      <c r="C102"/>
      <c r="D102"/>
    </row>
    <row r="103" spans="1:4" ht="12.75">
      <c r="A103"/>
      <c r="B103"/>
      <c r="C103"/>
      <c r="D103"/>
    </row>
    <row r="104" spans="1:4" ht="12.75">
      <c r="A104"/>
      <c r="B104"/>
      <c r="C104"/>
      <c r="D104"/>
    </row>
    <row r="105" spans="1:4" ht="12.75">
      <c r="A105"/>
      <c r="B105"/>
      <c r="C105"/>
      <c r="D105"/>
    </row>
    <row r="106" spans="1:4" ht="12.75">
      <c r="A106"/>
      <c r="B106"/>
      <c r="C106"/>
      <c r="D106"/>
    </row>
    <row r="107" spans="1:4" ht="12.75">
      <c r="A107"/>
      <c r="B107"/>
      <c r="C107"/>
      <c r="D107"/>
    </row>
    <row r="108" spans="1:4" ht="12.75">
      <c r="A108"/>
      <c r="B108"/>
      <c r="C108"/>
      <c r="D108"/>
    </row>
    <row r="109" spans="1:4" ht="12.75">
      <c r="A109"/>
      <c r="B109"/>
      <c r="C109"/>
      <c r="D109"/>
    </row>
    <row r="110" spans="1:4" ht="12.75">
      <c r="A110"/>
      <c r="B110"/>
      <c r="C110"/>
      <c r="D110"/>
    </row>
    <row r="111" spans="1:4" ht="12.75">
      <c r="A111"/>
      <c r="B111"/>
      <c r="C111"/>
      <c r="D111"/>
    </row>
    <row r="112" spans="1:4" ht="12.75">
      <c r="A112"/>
      <c r="B112"/>
      <c r="C112"/>
      <c r="D112"/>
    </row>
    <row r="113" ht="12.75">
      <c r="B113" s="15"/>
    </row>
  </sheetData>
  <sheetProtection/>
  <printOptions/>
  <pageMargins left="0.75" right="0.25" top="1" bottom="1" header="0.5" footer="0.5"/>
  <pageSetup fitToHeight="2" orientation="portrait" r:id="rId1"/>
  <rowBreaks count="1" manualBreakCount="1">
    <brk id="34" max="10" man="1"/>
  </rowBreaks>
</worksheet>
</file>

<file path=xl/worksheets/sheet9.xml><?xml version="1.0" encoding="utf-8"?>
<worksheet xmlns="http://schemas.openxmlformats.org/spreadsheetml/2006/main" xmlns:r="http://schemas.openxmlformats.org/officeDocument/2006/relationships">
  <dimension ref="A1:R75"/>
  <sheetViews>
    <sheetView zoomScalePageLayoutView="0" workbookViewId="0" topLeftCell="A47">
      <selection activeCell="R57" sqref="R57:R58"/>
    </sheetView>
  </sheetViews>
  <sheetFormatPr defaultColWidth="8.8515625" defaultRowHeight="12.75"/>
  <cols>
    <col min="1" max="1" width="2.8515625" style="37" customWidth="1"/>
    <col min="2" max="2" width="4.28125" style="45" customWidth="1"/>
    <col min="3" max="4" width="9.421875" style="19" customWidth="1"/>
    <col min="5" max="5" width="3.8515625" style="0" customWidth="1"/>
    <col min="6" max="6" width="8.8515625" style="0" customWidth="1"/>
    <col min="7" max="7" width="3.8515625" style="0" customWidth="1"/>
    <col min="8" max="12" width="11.8515625" style="0" customWidth="1"/>
    <col min="13" max="13" width="2.8515625" style="0" customWidth="1"/>
  </cols>
  <sheetData>
    <row r="1" spans="10:13" ht="12.75">
      <c r="J1" s="20"/>
      <c r="M1" s="20"/>
    </row>
    <row r="2" spans="10:13" ht="12.75">
      <c r="J2" s="20"/>
      <c r="M2" s="20"/>
    </row>
    <row r="3" spans="1:13" ht="16.5" thickBot="1">
      <c r="A3" s="9"/>
      <c r="B3" s="42" t="s">
        <v>407</v>
      </c>
      <c r="C3" s="75"/>
      <c r="D3" s="75"/>
      <c r="E3" s="9"/>
      <c r="F3" s="9"/>
      <c r="G3" s="9"/>
      <c r="H3" s="79"/>
      <c r="I3" s="9"/>
      <c r="J3" s="9"/>
      <c r="K3" s="9"/>
      <c r="L3" s="9"/>
      <c r="M3" s="79"/>
    </row>
    <row r="4" spans="2:13" ht="15.75">
      <c r="B4" s="74"/>
      <c r="J4" s="20"/>
      <c r="M4" s="20"/>
    </row>
    <row r="5" spans="2:13" ht="39">
      <c r="B5" s="74"/>
      <c r="H5" s="22" t="s">
        <v>117</v>
      </c>
      <c r="I5" s="26" t="s">
        <v>112</v>
      </c>
      <c r="J5" s="26"/>
      <c r="K5" s="19" t="s">
        <v>115</v>
      </c>
      <c r="M5" s="20"/>
    </row>
    <row r="6" spans="1:16" s="22" customFormat="1" ht="27" customHeight="1">
      <c r="A6" s="37"/>
      <c r="B6" s="74"/>
      <c r="C6" s="22" t="s">
        <v>72</v>
      </c>
      <c r="D6" s="22" t="s">
        <v>73</v>
      </c>
      <c r="F6" s="22" t="s">
        <v>78</v>
      </c>
      <c r="H6" s="23" t="s">
        <v>114</v>
      </c>
      <c r="I6" s="26" t="s">
        <v>113</v>
      </c>
      <c r="J6" s="23" t="s">
        <v>110</v>
      </c>
      <c r="K6" s="29" t="s">
        <v>116</v>
      </c>
      <c r="L6" s="26" t="s">
        <v>119</v>
      </c>
      <c r="M6" s="20"/>
      <c r="P6" s="22" t="s">
        <v>3</v>
      </c>
    </row>
    <row r="7" spans="1:12" s="22" customFormat="1" ht="12.75" customHeight="1">
      <c r="A7" s="37"/>
      <c r="B7" s="50"/>
      <c r="C7" s="80" t="s">
        <v>153</v>
      </c>
      <c r="D7" s="80" t="s">
        <v>154</v>
      </c>
      <c r="E7" s="80"/>
      <c r="F7" s="80" t="s">
        <v>155</v>
      </c>
      <c r="G7" s="80"/>
      <c r="H7" s="81" t="s">
        <v>156</v>
      </c>
      <c r="I7" s="81" t="s">
        <v>157</v>
      </c>
      <c r="J7" s="82" t="s">
        <v>158</v>
      </c>
      <c r="K7" s="81" t="s">
        <v>159</v>
      </c>
      <c r="L7" s="81" t="s">
        <v>210</v>
      </c>
    </row>
    <row r="8" spans="1:13" s="22" customFormat="1" ht="12.75" customHeight="1">
      <c r="A8" s="17"/>
      <c r="B8" s="50"/>
      <c r="H8" s="23"/>
      <c r="I8" s="23"/>
      <c r="J8" s="26"/>
      <c r="K8" s="23"/>
      <c r="L8" s="23"/>
      <c r="M8" s="26"/>
    </row>
    <row r="9" spans="6:13" ht="12.75">
      <c r="F9" s="31"/>
      <c r="H9" s="30"/>
      <c r="I9" s="30"/>
      <c r="J9" s="30"/>
      <c r="K9" s="30"/>
      <c r="L9" s="30"/>
      <c r="M9" s="20"/>
    </row>
    <row r="10" spans="2:16" ht="12.75">
      <c r="B10" s="46" t="s">
        <v>160</v>
      </c>
      <c r="C10" s="19">
        <v>-4</v>
      </c>
      <c r="D10" s="19">
        <v>2009</v>
      </c>
      <c r="F10" s="31">
        <f aca="true" t="shared" si="0" ref="F10:F54">1/(1+WACCnuc)^(C10)</f>
        <v>1.465165090435202</v>
      </c>
      <c r="H10" s="30">
        <f>$F10*'Table 6B LCOE Nuclear after-tax'!F10</f>
        <v>590.6695848882282</v>
      </c>
      <c r="I10" s="30"/>
      <c r="J10" s="30"/>
      <c r="K10" s="30"/>
      <c r="L10" s="30">
        <f>$F10*'Table 6B LCOE Nuclear after-tax'!J10</f>
        <v>590.6695848882282</v>
      </c>
      <c r="M10" s="20"/>
      <c r="P10" s="3">
        <f>L10-SUM(H10:K10)</f>
        <v>0</v>
      </c>
    </row>
    <row r="11" spans="2:16" ht="12.75">
      <c r="B11" s="46" t="s">
        <v>161</v>
      </c>
      <c r="C11" s="19">
        <v>-3</v>
      </c>
      <c r="D11" s="19">
        <v>2010</v>
      </c>
      <c r="F11" s="31">
        <f t="shared" si="0"/>
        <v>1.3317261320080003</v>
      </c>
      <c r="H11" s="30">
        <f>$F11*'Table 6B LCOE Nuclear after-tax'!F11</f>
        <v>1455.2131010507062</v>
      </c>
      <c r="I11" s="30"/>
      <c r="J11" s="30"/>
      <c r="K11" s="30"/>
      <c r="L11" s="30">
        <f>$F11*'Table 6B LCOE Nuclear after-tax'!J11</f>
        <v>1455.2131010507062</v>
      </c>
      <c r="M11" s="20"/>
      <c r="P11" s="3">
        <f aca="true" t="shared" si="1" ref="P11:P54">L11-SUM(H11:K11)</f>
        <v>0</v>
      </c>
    </row>
    <row r="12" spans="2:16" ht="12.75">
      <c r="B12" s="46" t="s">
        <v>162</v>
      </c>
      <c r="C12" s="19">
        <v>-2</v>
      </c>
      <c r="D12" s="19">
        <v>2011</v>
      </c>
      <c r="F12" s="31">
        <f t="shared" si="0"/>
        <v>1.2104400400000002</v>
      </c>
      <c r="H12" s="30">
        <f>$F12*'Table 6B LCOE Nuclear after-tax'!F12</f>
        <v>1689.3275519559731</v>
      </c>
      <c r="I12" s="30"/>
      <c r="J12" s="30"/>
      <c r="K12" s="30"/>
      <c r="L12" s="30">
        <f>$F12*'Table 6B LCOE Nuclear after-tax'!J12</f>
        <v>1689.3275519559731</v>
      </c>
      <c r="M12" s="20"/>
      <c r="P12" s="3">
        <f t="shared" si="1"/>
        <v>0</v>
      </c>
    </row>
    <row r="13" spans="2:16" ht="12.75">
      <c r="B13" s="46" t="s">
        <v>163</v>
      </c>
      <c r="C13" s="19">
        <v>-1</v>
      </c>
      <c r="D13" s="19">
        <v>2012</v>
      </c>
      <c r="F13" s="31">
        <f t="shared" si="0"/>
        <v>1.1002</v>
      </c>
      <c r="H13" s="30">
        <f>$F13*'Table 6B LCOE Nuclear after-tax'!F13</f>
        <v>1275.43333654486</v>
      </c>
      <c r="I13" s="30"/>
      <c r="J13" s="30"/>
      <c r="K13" s="30"/>
      <c r="L13" s="30">
        <f>$F13*'Table 6B LCOE Nuclear after-tax'!J13</f>
        <v>1275.43333654486</v>
      </c>
      <c r="M13" s="20"/>
      <c r="P13" s="3">
        <f t="shared" si="1"/>
        <v>0</v>
      </c>
    </row>
    <row r="14" spans="2:16" ht="12.75">
      <c r="B14" s="46" t="s">
        <v>164</v>
      </c>
      <c r="C14" s="19">
        <v>0</v>
      </c>
      <c r="D14" s="19">
        <v>2013</v>
      </c>
      <c r="F14" s="31">
        <f t="shared" si="0"/>
        <v>1</v>
      </c>
      <c r="H14" s="30">
        <f>$F14*'Table 6B LCOE Nuclear after-tax'!F14</f>
        <v>453.73987268101996</v>
      </c>
      <c r="I14" s="30"/>
      <c r="J14" s="30"/>
      <c r="K14" s="30"/>
      <c r="L14" s="30">
        <f>$F14*'Table 6B LCOE Nuclear after-tax'!J14</f>
        <v>453.73987268101996</v>
      </c>
      <c r="M14" s="20"/>
      <c r="P14" s="3">
        <f t="shared" si="1"/>
        <v>0</v>
      </c>
    </row>
    <row r="15" spans="2:16" ht="12.75">
      <c r="B15" s="46" t="s">
        <v>165</v>
      </c>
      <c r="C15" s="19">
        <v>1</v>
      </c>
      <c r="D15" s="19">
        <v>2014</v>
      </c>
      <c r="F15" s="31">
        <f t="shared" si="0"/>
        <v>0.9089256498818397</v>
      </c>
      <c r="H15" s="30">
        <f>$F15*'Table 6B LCOE Nuclear after-tax'!F15</f>
        <v>-75.74396166201497</v>
      </c>
      <c r="I15" s="30">
        <f>$F15*'Table 6B LCOE Nuclear after-tax'!G15</f>
        <v>28.170170340580555</v>
      </c>
      <c r="J15" s="30">
        <f>$F15*'Table 6B LCOE Nuclear after-tax'!H15</f>
        <v>42.61446400127555</v>
      </c>
      <c r="K15" s="30">
        <f>$F15*'Table 6B LCOE Nuclear after-tax'!I15</f>
        <v>42.14635755176056</v>
      </c>
      <c r="L15" s="30">
        <f>$F15*'Table 6B LCOE Nuclear after-tax'!J15</f>
        <v>37.18703023160169</v>
      </c>
      <c r="M15" s="20"/>
      <c r="P15" s="3">
        <f t="shared" si="1"/>
        <v>0</v>
      </c>
    </row>
    <row r="16" spans="2:16" ht="12.75">
      <c r="B16" s="46" t="s">
        <v>166</v>
      </c>
      <c r="C16" s="19">
        <v>2</v>
      </c>
      <c r="D16" s="19">
        <v>2015</v>
      </c>
      <c r="F16" s="31">
        <f t="shared" si="0"/>
        <v>0.8261458370131245</v>
      </c>
      <c r="H16" s="30">
        <f>$F16*'Table 6B LCOE Nuclear after-tax'!F16</f>
        <v>-130.806696198717</v>
      </c>
      <c r="I16" s="30">
        <f>$F16*'Table 6B LCOE Nuclear after-tax'!G16</f>
        <v>26.372728095617127</v>
      </c>
      <c r="J16" s="30">
        <f>$F16*'Table 6B LCOE Nuclear after-tax'!H16</f>
        <v>40.29433457601068</v>
      </c>
      <c r="K16" s="30">
        <f>$F16*'Table 6B LCOE Nuclear after-tax'!I16</f>
        <v>39.51811351029777</v>
      </c>
      <c r="L16" s="30">
        <f>$F16*'Table 6B LCOE Nuclear after-tax'!J16</f>
        <v>-24.62152001679141</v>
      </c>
      <c r="M16" s="20"/>
      <c r="P16" s="3">
        <f t="shared" si="1"/>
        <v>0</v>
      </c>
    </row>
    <row r="17" spans="2:16" ht="12.75">
      <c r="B17" s="46" t="s">
        <v>167</v>
      </c>
      <c r="C17" s="19">
        <v>3</v>
      </c>
      <c r="D17" s="19">
        <v>2016</v>
      </c>
      <c r="F17" s="31">
        <f t="shared" si="0"/>
        <v>0.7509051418043305</v>
      </c>
      <c r="H17" s="30">
        <f>$F17*'Table 6B LCOE Nuclear after-tax'!F17</f>
        <v>-107.00420521618368</v>
      </c>
      <c r="I17" s="30">
        <f>$F17*'Table 6B LCOE Nuclear after-tax'!G17</f>
        <v>24.689974494169824</v>
      </c>
      <c r="J17" s="30">
        <f>$F17*'Table 6B LCOE Nuclear after-tax'!H17</f>
        <v>38.10052377697137</v>
      </c>
      <c r="K17" s="30">
        <f>$F17*'Table 6B LCOE Nuclear after-tax'!I17</f>
        <v>37.05768079149787</v>
      </c>
      <c r="L17" s="30">
        <f>$F17*'Table 6B LCOE Nuclear after-tax'!J17</f>
        <v>-7.156026153544608</v>
      </c>
      <c r="M17" s="20"/>
      <c r="P17" s="3">
        <f t="shared" si="1"/>
        <v>7.993605777301127E-15</v>
      </c>
    </row>
    <row r="18" spans="2:16" ht="12.75">
      <c r="B18" s="46" t="s">
        <v>168</v>
      </c>
      <c r="C18" s="19">
        <v>4</v>
      </c>
      <c r="D18" s="19">
        <v>2017</v>
      </c>
      <c r="F18" s="31">
        <f t="shared" si="0"/>
        <v>0.682516944014116</v>
      </c>
      <c r="H18" s="30">
        <f>$F18*'Table 6B LCOE Nuclear after-tax'!F18</f>
        <v>-87.58985661986117</v>
      </c>
      <c r="I18" s="30">
        <f>$F18*'Table 6B LCOE Nuclear after-tax'!G18</f>
        <v>23.11459164605973</v>
      </c>
      <c r="J18" s="30">
        <f>$F18*'Table 6B LCOE Nuclear after-tax'!H18</f>
        <v>36.026154231215514</v>
      </c>
      <c r="K18" s="30">
        <f>$F18*'Table 6B LCOE Nuclear after-tax'!I18</f>
        <v>34.754006779820664</v>
      </c>
      <c r="L18" s="30">
        <f>$F18*'Table 6B LCOE Nuclear after-tax'!J18</f>
        <v>6.304896037234751</v>
      </c>
      <c r="M18" s="20"/>
      <c r="P18" s="3">
        <f t="shared" si="1"/>
        <v>1.687538997430238E-14</v>
      </c>
    </row>
    <row r="19" spans="2:16" ht="12.75">
      <c r="B19" s="46" t="s">
        <v>169</v>
      </c>
      <c r="C19" s="19">
        <v>5</v>
      </c>
      <c r="D19" s="19">
        <v>2018</v>
      </c>
      <c r="F19" s="31">
        <f t="shared" si="0"/>
        <v>0.6203571568933975</v>
      </c>
      <c r="H19" s="30">
        <f>$F19*'Table 6B LCOE Nuclear after-tax'!F19</f>
        <v>-71.65140061613802</v>
      </c>
      <c r="I19" s="30">
        <f>$F19*'Table 6B LCOE Nuclear after-tax'!G19</f>
        <v>21.63972859065763</v>
      </c>
      <c r="J19" s="30">
        <f>$F19*'Table 6B LCOE Nuclear after-tax'!H19</f>
        <v>34.0647230019392</v>
      </c>
      <c r="K19" s="30">
        <f>$F19*'Table 6B LCOE Nuclear after-tax'!I19</f>
        <v>32.59679532726612</v>
      </c>
      <c r="L19" s="30">
        <f>$F19*'Table 6B LCOE Nuclear after-tax'!J19</f>
        <v>16.649846303724935</v>
      </c>
      <c r="M19" s="20"/>
      <c r="P19" s="3">
        <f t="shared" si="1"/>
        <v>0</v>
      </c>
    </row>
    <row r="20" spans="2:16" ht="12.75">
      <c r="B20" t="s">
        <v>170</v>
      </c>
      <c r="C20" s="19">
        <v>6</v>
      </c>
      <c r="D20" s="19">
        <v>2019</v>
      </c>
      <c r="F20" s="31">
        <f t="shared" si="0"/>
        <v>0.5638585319881817</v>
      </c>
      <c r="H20" s="30">
        <f>$F20*'Table 6B LCOE Nuclear after-tax'!F20</f>
        <v>-58.54743265077868</v>
      </c>
      <c r="I20" s="30">
        <f>$F20*'Table 6B LCOE Nuclear after-tax'!G20</f>
        <v>20.25897150370601</v>
      </c>
      <c r="J20" s="30">
        <f>$F20*'Table 6B LCOE Nuclear after-tax'!H20</f>
        <v>32.21008120243351</v>
      </c>
      <c r="K20" s="30">
        <f>$F20*'Table 6B LCOE Nuclear after-tax'!I20</f>
        <v>30.576452648397932</v>
      </c>
      <c r="L20" s="30">
        <f>$F20*'Table 6B LCOE Nuclear after-tax'!J20</f>
        <v>24.498072703758762</v>
      </c>
      <c r="M20" s="20"/>
      <c r="P20" s="3">
        <f t="shared" si="1"/>
        <v>0</v>
      </c>
    </row>
    <row r="21" spans="2:16" ht="12.75">
      <c r="B21" t="s">
        <v>171</v>
      </c>
      <c r="C21" s="19">
        <v>7</v>
      </c>
      <c r="D21" s="19">
        <v>2020</v>
      </c>
      <c r="F21" s="31">
        <f t="shared" si="0"/>
        <v>0.512505482628778</v>
      </c>
      <c r="H21" s="30">
        <f>$F21*'Table 6B LCOE Nuclear after-tax'!F21</f>
        <v>-50.396477255061185</v>
      </c>
      <c r="I21" s="30">
        <f>$F21*'Table 6B LCOE Nuclear after-tax'!G21</f>
        <v>18.96631580514196</v>
      </c>
      <c r="J21" s="30">
        <f>$F21*'Table 6B LCOE Nuclear after-tax'!H21</f>
        <v>30.456414719952342</v>
      </c>
      <c r="K21" s="30">
        <f>$F21*'Table 6B LCOE Nuclear after-tax'!I21</f>
        <v>28.68403726848601</v>
      </c>
      <c r="L21" s="30">
        <f>$F21*'Table 6B LCOE Nuclear after-tax'!J21</f>
        <v>27.710290538519125</v>
      </c>
      <c r="M21" s="20"/>
      <c r="P21" s="3">
        <f t="shared" si="1"/>
        <v>0</v>
      </c>
    </row>
    <row r="22" spans="2:16" ht="12.75">
      <c r="B22" t="s">
        <v>174</v>
      </c>
      <c r="C22" s="19">
        <v>8</v>
      </c>
      <c r="D22" s="19">
        <v>2021</v>
      </c>
      <c r="F22" s="31">
        <f t="shared" si="0"/>
        <v>0.46582937886636794</v>
      </c>
      <c r="H22" s="30">
        <f>$F22*'Table 6B LCOE Nuclear after-tax'!F22</f>
        <v>-45.806650840811834</v>
      </c>
      <c r="I22" s="30">
        <f>$F22*'Table 6B LCOE Nuclear after-tax'!G22</f>
        <v>17.75614004662445</v>
      </c>
      <c r="J22" s="30">
        <f>$F22*'Table 6B LCOE Nuclear after-tax'!H22</f>
        <v>28.798225989062374</v>
      </c>
      <c r="K22" s="30">
        <f>$F22*'Table 6B LCOE Nuclear after-tax'!I22</f>
        <v>26.911213707335328</v>
      </c>
      <c r="L22" s="30">
        <f>$F22*'Table 6B LCOE Nuclear after-tax'!J22</f>
        <v>27.658928902210313</v>
      </c>
      <c r="M22" s="20"/>
      <c r="P22" s="3">
        <f t="shared" si="1"/>
        <v>0</v>
      </c>
    </row>
    <row r="23" spans="2:16" ht="12.75">
      <c r="B23" t="s">
        <v>174</v>
      </c>
      <c r="C23" s="19">
        <v>9</v>
      </c>
      <c r="D23" s="19">
        <v>2022</v>
      </c>
      <c r="F23" s="31">
        <f t="shared" si="0"/>
        <v>0.42340427092016714</v>
      </c>
      <c r="H23" s="30">
        <f>$F23*'Table 6B LCOE Nuclear after-tax'!F23</f>
        <v>-41.705407409623206</v>
      </c>
      <c r="I23" s="30">
        <f>$F23*'Table 6B LCOE Nuclear after-tax'!G23</f>
        <v>16.623181465209218</v>
      </c>
      <c r="J23" s="30">
        <f>$F23*'Table 6B LCOE Nuclear after-tax'!H23</f>
        <v>27.230316757336464</v>
      </c>
      <c r="K23" s="30">
        <f>$F23*'Table 6B LCOE Nuclear after-tax'!I23</f>
        <v>25.25020960722172</v>
      </c>
      <c r="L23" s="30">
        <f>$F23*'Table 6B LCOE Nuclear after-tax'!J23</f>
        <v>27.398300420144196</v>
      </c>
      <c r="M23" s="20"/>
      <c r="P23" s="3">
        <f t="shared" si="1"/>
        <v>0</v>
      </c>
    </row>
    <row r="24" spans="2:16" ht="12.75">
      <c r="B24" t="s">
        <v>124</v>
      </c>
      <c r="C24" s="19">
        <v>10</v>
      </c>
      <c r="D24" s="19">
        <v>2023</v>
      </c>
      <c r="F24" s="31">
        <f t="shared" si="0"/>
        <v>0.3848430021088594</v>
      </c>
      <c r="H24" s="30">
        <f>$F24*'Table 6B LCOE Nuclear after-tax'!F24</f>
        <v>-37.84297389965044</v>
      </c>
      <c r="I24" s="30">
        <f>$F24*'Table 6B LCOE Nuclear after-tax'!G24</f>
        <v>15.562513096860108</v>
      </c>
      <c r="J24" s="30">
        <f>$F24*'Table 6B LCOE Nuclear after-tax'!H24</f>
        <v>25.747771789362954</v>
      </c>
      <c r="K24" s="30">
        <f>$F24*'Table 6B LCOE Nuclear after-tax'!I24</f>
        <v>23.693776037034652</v>
      </c>
      <c r="L24" s="30">
        <f>$F24*'Table 6B LCOE Nuclear after-tax'!J24</f>
        <v>27.16108702360728</v>
      </c>
      <c r="M24" s="20"/>
      <c r="P24" s="3">
        <f t="shared" si="1"/>
        <v>0</v>
      </c>
    </row>
    <row r="25" spans="2:16" ht="12.75">
      <c r="B25" t="s">
        <v>221</v>
      </c>
      <c r="C25" s="19">
        <v>11</v>
      </c>
      <c r="D25" s="19">
        <v>2024</v>
      </c>
      <c r="F25" s="31">
        <f t="shared" si="0"/>
        <v>0.34979367579427323</v>
      </c>
      <c r="H25" s="30">
        <f>$F25*'Table 6B LCOE Nuclear after-tax'!F25</f>
        <v>-34.45474871239653</v>
      </c>
      <c r="I25" s="30">
        <f>$F25*'Table 6B LCOE Nuclear after-tax'!G25</f>
        <v>14.56952235026896</v>
      </c>
      <c r="J25" s="30">
        <f>$F25*'Table 6B LCOE Nuclear after-tax'!H25</f>
        <v>24.34594345798426</v>
      </c>
      <c r="K25" s="30">
        <f>$F25*'Table 6B LCOE Nuclear after-tax'!I25</f>
        <v>22.235150726419274</v>
      </c>
      <c r="L25" s="30">
        <f>$F25*'Table 6B LCOE Nuclear after-tax'!J25</f>
        <v>26.695867822275968</v>
      </c>
      <c r="M25" s="20"/>
      <c r="P25" s="3">
        <f t="shared" si="1"/>
        <v>0</v>
      </c>
    </row>
    <row r="26" spans="2:16" ht="12.75">
      <c r="B26" t="s">
        <v>251</v>
      </c>
      <c r="C26" s="19">
        <v>12</v>
      </c>
      <c r="D26" s="19">
        <v>2025</v>
      </c>
      <c r="F26" s="31">
        <f t="shared" si="0"/>
        <v>0.3179364440958673</v>
      </c>
      <c r="H26" s="30">
        <f>$F26*'Table 6B LCOE Nuclear after-tax'!F26</f>
        <v>-31.263815347392534</v>
      </c>
      <c r="I26" s="30">
        <f>$F26*'Table 6B LCOE Nuclear after-tax'!G26</f>
        <v>13.63989094780679</v>
      </c>
      <c r="J26" s="30">
        <f>$F26*'Table 6B LCOE Nuclear after-tax'!H26</f>
        <v>23.020437174460117</v>
      </c>
      <c r="K26" s="30">
        <f>$F26*'Table 6B LCOE Nuclear after-tax'!I26</f>
        <v>20.86802400358729</v>
      </c>
      <c r="L26" s="30">
        <f>$F26*'Table 6B LCOE Nuclear after-tax'!J26</f>
        <v>26.26453677846166</v>
      </c>
      <c r="M26" s="20"/>
      <c r="P26" s="3">
        <f t="shared" si="1"/>
        <v>0</v>
      </c>
    </row>
    <row r="27" spans="2:16" ht="12.75">
      <c r="B27" t="s">
        <v>252</v>
      </c>
      <c r="C27" s="19">
        <v>13</v>
      </c>
      <c r="D27" s="19">
        <v>2026</v>
      </c>
      <c r="F27" s="31">
        <f t="shared" si="0"/>
        <v>0.2889805890709573</v>
      </c>
      <c r="H27" s="30">
        <f>$F27*'Table 6B LCOE Nuclear after-tax'!F27</f>
        <v>-28.464647214079697</v>
      </c>
      <c r="I27" s="30">
        <f>$F27*'Table 6B LCOE Nuclear after-tax'!G27</f>
        <v>12.769576146374286</v>
      </c>
      <c r="J27" s="30">
        <f>$F27*'Table 6B LCOE Nuclear after-tax'!H27</f>
        <v>21.767097611880434</v>
      </c>
      <c r="K27" s="30">
        <f>$F27*'Table 6B LCOE Nuclear after-tax'!I27</f>
        <v>19.58650722868355</v>
      </c>
      <c r="L27" s="30">
        <f>$F27*'Table 6B LCOE Nuclear after-tax'!J27</f>
        <v>25.658533772858572</v>
      </c>
      <c r="M27" s="20"/>
      <c r="P27" s="3">
        <f t="shared" si="1"/>
        <v>0</v>
      </c>
    </row>
    <row r="28" spans="2:16" ht="12.75">
      <c r="B28" t="s">
        <v>256</v>
      </c>
      <c r="C28" s="19">
        <v>14</v>
      </c>
      <c r="D28" s="19">
        <v>2027</v>
      </c>
      <c r="F28" s="31">
        <f t="shared" si="0"/>
        <v>0.2626618697245567</v>
      </c>
      <c r="H28" s="30">
        <f>$F28*'Table 6B LCOE Nuclear after-tax'!F28</f>
        <v>-25.828470898395366</v>
      </c>
      <c r="I28" s="30">
        <f>$F28*'Table 6B LCOE Nuclear after-tax'!G28</f>
        <v>11.95479315648565</v>
      </c>
      <c r="J28" s="30">
        <f>$F28*'Table 6B LCOE Nuclear after-tax'!H28</f>
        <v>20.58199567863953</v>
      </c>
      <c r="K28" s="30">
        <f>$F28*'Table 6B LCOE Nuclear after-tax'!I28</f>
        <v>18.385103531294924</v>
      </c>
      <c r="L28" s="30">
        <f>$F28*'Table 6B LCOE Nuclear after-tax'!J28</f>
        <v>25.093421468024733</v>
      </c>
      <c r="M28" s="20"/>
      <c r="P28" s="3">
        <f t="shared" si="1"/>
        <v>0</v>
      </c>
    </row>
    <row r="29" spans="2:16" ht="12.75">
      <c r="B29" t="s">
        <v>257</v>
      </c>
      <c r="C29" s="19">
        <v>15</v>
      </c>
      <c r="D29" s="19">
        <v>2028</v>
      </c>
      <c r="F29" s="31">
        <f t="shared" si="0"/>
        <v>0.23874011063857184</v>
      </c>
      <c r="H29" s="30">
        <f>$F29*'Table 6B LCOE Nuclear after-tax'!F29</f>
        <v>-23.51594979795918</v>
      </c>
      <c r="I29" s="30">
        <f>$F29*'Table 6B LCOE Nuclear after-tax'!G29</f>
        <v>11.19199868313054</v>
      </c>
      <c r="J29" s="30">
        <f>$F29*'Table 6B LCOE Nuclear after-tax'!H29</f>
        <v>19.46141620113498</v>
      </c>
      <c r="K29" s="30">
        <f>$F29*'Table 6B LCOE Nuclear after-tax'!I29</f>
        <v>17.258680676000207</v>
      </c>
      <c r="L29" s="30">
        <f>$F29*'Table 6B LCOE Nuclear after-tax'!J29</f>
        <v>24.39614576230655</v>
      </c>
      <c r="M29" s="20"/>
      <c r="P29" s="3">
        <f t="shared" si="1"/>
        <v>0</v>
      </c>
    </row>
    <row r="30" spans="2:16" ht="12.75">
      <c r="B30" t="s">
        <v>258</v>
      </c>
      <c r="C30" s="19">
        <v>16</v>
      </c>
      <c r="D30" s="19">
        <v>2029</v>
      </c>
      <c r="F30" s="31">
        <f t="shared" si="0"/>
        <v>0.21699701021502615</v>
      </c>
      <c r="H30" s="30">
        <f>$F30*'Table 6B LCOE Nuclear after-tax'!F30</f>
        <v>-10.669041854561984</v>
      </c>
      <c r="I30" s="30">
        <f>$F30*'Table 6B LCOE Nuclear after-tax'!G30</f>
        <v>10.477875516837354</v>
      </c>
      <c r="J30" s="30">
        <f>$F30*'Table 6B LCOE Nuclear after-tax'!H30</f>
        <v>18.401846277077546</v>
      </c>
      <c r="K30" s="30">
        <f>$F30*'Table 6B LCOE Nuclear after-tax'!I30</f>
        <v>16.20244589390286</v>
      </c>
      <c r="L30" s="30">
        <f>$F30*'Table 6B LCOE Nuclear after-tax'!J30</f>
        <v>34.413125833255776</v>
      </c>
      <c r="M30" s="20"/>
      <c r="P30" s="3">
        <f t="shared" si="1"/>
        <v>0</v>
      </c>
    </row>
    <row r="31" spans="2:16" ht="12.75">
      <c r="B31" t="s">
        <v>226</v>
      </c>
      <c r="C31" s="19">
        <v>17</v>
      </c>
      <c r="D31" s="19">
        <v>2030</v>
      </c>
      <c r="F31" s="31">
        <f t="shared" si="0"/>
        <v>0.19723414853210883</v>
      </c>
      <c r="H31" s="30"/>
      <c r="I31" s="30">
        <f>$F31*'Table 6B LCOE Nuclear after-tax'!G31</f>
        <v>9.80931810792808</v>
      </c>
      <c r="J31" s="30">
        <f>$F31*'Table 6B LCOE Nuclear after-tax'!H31</f>
        <v>17.399964262901083</v>
      </c>
      <c r="K31" s="30">
        <f>$F31*'Table 6B LCOE Nuclear after-tax'!I31</f>
        <v>15.211922530970334</v>
      </c>
      <c r="L31" s="30">
        <f>$F31*'Table 6B LCOE Nuclear after-tax'!J31</f>
        <v>42.4212049017995</v>
      </c>
      <c r="M31" s="20"/>
      <c r="P31" s="3">
        <f t="shared" si="1"/>
        <v>0</v>
      </c>
    </row>
    <row r="32" spans="2:16" ht="12.75">
      <c r="B32" t="s">
        <v>227</v>
      </c>
      <c r="C32" s="19">
        <v>18</v>
      </c>
      <c r="D32" s="19">
        <v>2031</v>
      </c>
      <c r="F32" s="31">
        <f t="shared" si="0"/>
        <v>0.1792711766334383</v>
      </c>
      <c r="H32" s="30"/>
      <c r="I32" s="30">
        <f>$F32*'Table 6B LCOE Nuclear after-tax'!G32</f>
        <v>9.183419061230612</v>
      </c>
      <c r="J32" s="30">
        <f>$F32*'Table 6B LCOE Nuclear after-tax'!H32</f>
        <v>16.452629360748947</v>
      </c>
      <c r="K32" s="30">
        <f>$F32*'Table 6B LCOE Nuclear after-tax'!I32</f>
        <v>14.2829283758235</v>
      </c>
      <c r="L32" s="30">
        <f>$F32*'Table 6B LCOE Nuclear after-tax'!J32</f>
        <v>39.918976797803055</v>
      </c>
      <c r="M32" s="20"/>
      <c r="P32" s="3">
        <f t="shared" si="1"/>
        <v>0</v>
      </c>
    </row>
    <row r="33" spans="2:16" ht="12.75">
      <c r="B33" t="s">
        <v>228</v>
      </c>
      <c r="C33" s="19">
        <v>19</v>
      </c>
      <c r="D33" s="19">
        <v>2032</v>
      </c>
      <c r="F33" s="31">
        <f t="shared" si="0"/>
        <v>0.16294417072662998</v>
      </c>
      <c r="H33" s="30"/>
      <c r="I33" s="30">
        <f>$F33*'Table 6B LCOE Nuclear after-tax'!G33</f>
        <v>8.597456492517297</v>
      </c>
      <c r="J33" s="30">
        <f>$F33*'Table 6B LCOE Nuclear after-tax'!H33</f>
        <v>15.55687177239332</v>
      </c>
      <c r="K33" s="30">
        <f>$F33*'Table 6B LCOE Nuclear after-tax'!I33</f>
        <v>13.411555540467575</v>
      </c>
      <c r="L33" s="30">
        <f>$F33*'Table 6B LCOE Nuclear after-tax'!J33</f>
        <v>37.565883805378185</v>
      </c>
      <c r="M33" s="20"/>
      <c r="P33" s="3">
        <f t="shared" si="1"/>
        <v>0</v>
      </c>
    </row>
    <row r="34" spans="2:16" ht="12.75">
      <c r="B34" t="s">
        <v>229</v>
      </c>
      <c r="C34" s="19">
        <v>20</v>
      </c>
      <c r="D34" s="19">
        <v>2033</v>
      </c>
      <c r="F34" s="31">
        <f t="shared" si="0"/>
        <v>0.14810413627215957</v>
      </c>
      <c r="H34" s="30"/>
      <c r="I34" s="30">
        <f>$F34*'Table 6B LCOE Nuclear after-tax'!G34</f>
        <v>8.04888219168589</v>
      </c>
      <c r="J34" s="30">
        <f>$F34*'Table 6B LCOE Nuclear after-tax'!H34</f>
        <v>14.70988338922084</v>
      </c>
      <c r="K34" s="30">
        <f>$F34*'Table 6B LCOE Nuclear after-tax'!I34</f>
        <v>12.594151777413753</v>
      </c>
      <c r="L34" s="30">
        <f>$F34*'Table 6B LCOE Nuclear after-tax'!J34</f>
        <v>35.35291735832048</v>
      </c>
      <c r="M34" s="20"/>
      <c r="P34" s="3">
        <f t="shared" si="1"/>
        <v>0</v>
      </c>
    </row>
    <row r="35" spans="2:16" ht="12.75">
      <c r="B35" t="s">
        <v>230</v>
      </c>
      <c r="C35" s="19">
        <v>21</v>
      </c>
      <c r="D35" s="19">
        <v>2034</v>
      </c>
      <c r="F35" s="31">
        <f t="shared" si="0"/>
        <v>0.13461564831136116</v>
      </c>
      <c r="H35" s="30"/>
      <c r="I35" s="30">
        <f>$F35*'Table 6B LCOE Nuclear after-tax'!G35</f>
        <v>7.535310541207475</v>
      </c>
      <c r="J35" s="30">
        <f>$F35*'Table 6B LCOE Nuclear after-tax'!H35</f>
        <v>13.909008989098744</v>
      </c>
      <c r="K35" s="30">
        <f>$F35*'Table 6B LCOE Nuclear after-tax'!I35</f>
        <v>11.827303125784667</v>
      </c>
      <c r="L35" s="30">
        <f>$F35*'Table 6B LCOE Nuclear after-tax'!J35</f>
        <v>33.271622656090884</v>
      </c>
      <c r="M35" s="20"/>
      <c r="P35" s="3">
        <f t="shared" si="1"/>
        <v>0</v>
      </c>
    </row>
    <row r="36" spans="2:16" ht="12.75">
      <c r="B36" t="s">
        <v>231</v>
      </c>
      <c r="C36" s="19">
        <v>22</v>
      </c>
      <c r="D36" s="19">
        <v>2035</v>
      </c>
      <c r="F36" s="31">
        <f t="shared" si="0"/>
        <v>0.1223556156256691</v>
      </c>
      <c r="H36" s="30"/>
      <c r="I36" s="30">
        <f>$F36*'Table 6B LCOE Nuclear after-tax'!G36</f>
        <v>7.054508141650335</v>
      </c>
      <c r="J36" s="30">
        <f>$F36*'Table 6B LCOE Nuclear after-tax'!H36</f>
        <v>13.151737912524469</v>
      </c>
      <c r="K36" s="30">
        <f>$F36*'Table 6B LCOE Nuclear after-tax'!I36</f>
        <v>11.107817787394218</v>
      </c>
      <c r="L36" s="30">
        <f>$F36*'Table 6B LCOE Nuclear after-tax'!J36</f>
        <v>31.314063841569023</v>
      </c>
      <c r="M36" s="20"/>
      <c r="P36" s="3">
        <f t="shared" si="1"/>
        <v>0</v>
      </c>
    </row>
    <row r="37" spans="2:16" ht="12.75">
      <c r="B37" t="s">
        <v>232</v>
      </c>
      <c r="C37" s="19">
        <v>23</v>
      </c>
      <c r="D37" s="19">
        <v>2036</v>
      </c>
      <c r="F37" s="31">
        <f t="shared" si="0"/>
        <v>0.11121215744925388</v>
      </c>
      <c r="H37" s="30"/>
      <c r="I37" s="30">
        <f>$F37*'Table 6B LCOE Nuclear after-tax'!G37</f>
        <v>6.604384099163648</v>
      </c>
      <c r="J37" s="30">
        <f>$F37*'Table 6B LCOE Nuclear after-tax'!H37</f>
        <v>12.435696191964377</v>
      </c>
      <c r="K37" s="30">
        <f>$F37*'Table 6B LCOE Nuclear after-tax'!I37</f>
        <v>10.432711141507584</v>
      </c>
      <c r="L37" s="30">
        <f>$F37*'Table 6B LCOE Nuclear after-tax'!J37</f>
        <v>29.472791432635606</v>
      </c>
      <c r="M37" s="20"/>
      <c r="P37" s="3">
        <f t="shared" si="1"/>
        <v>0</v>
      </c>
    </row>
    <row r="38" spans="2:16" ht="12.75">
      <c r="B38" t="s">
        <v>233</v>
      </c>
      <c r="C38" s="19">
        <v>24</v>
      </c>
      <c r="D38" s="19">
        <v>2037</v>
      </c>
      <c r="F38" s="31">
        <f t="shared" si="0"/>
        <v>0.10108358248432453</v>
      </c>
      <c r="H38" s="30"/>
      <c r="I38" s="30">
        <f>$F38*'Table 6B LCOE Nuclear after-tax'!G38</f>
        <v>6.182980932683653</v>
      </c>
      <c r="J38" s="30">
        <f>$F38*'Table 6B LCOE Nuclear after-tax'!H38</f>
        <v>11.758639109707813</v>
      </c>
      <c r="K38" s="30">
        <f>$F38*'Table 6B LCOE Nuclear after-tax'!I38</f>
        <v>9.79919181407604</v>
      </c>
      <c r="L38" s="30">
        <f>$F38*'Table 6B LCOE Nuclear after-tax'!J38</f>
        <v>27.74081185646751</v>
      </c>
      <c r="M38" s="20"/>
      <c r="P38" s="3">
        <f t="shared" si="1"/>
        <v>0</v>
      </c>
    </row>
    <row r="39" spans="2:16" ht="12.75">
      <c r="B39" t="s">
        <v>234</v>
      </c>
      <c r="C39" s="19">
        <v>25</v>
      </c>
      <c r="D39" s="19">
        <v>2038</v>
      </c>
      <c r="F39" s="31">
        <f t="shared" si="0"/>
        <v>0.09187746090194922</v>
      </c>
      <c r="H39" s="30"/>
      <c r="I39" s="30">
        <f>$F39*'Table 6B LCOE Nuclear after-tax'!G39</f>
        <v>5.78846606131991</v>
      </c>
      <c r="J39" s="30">
        <f>$F39*'Table 6B LCOE Nuclear after-tax'!H39</f>
        <v>11.118444160906233</v>
      </c>
      <c r="K39" s="30">
        <f>$F39*'Table 6B LCOE Nuclear after-tax'!I39</f>
        <v>9.204648723757561</v>
      </c>
      <c r="L39" s="30">
        <f>$F39*'Table 6B LCOE Nuclear after-tax'!J39</f>
        <v>26.111558945983706</v>
      </c>
      <c r="M39" s="20"/>
      <c r="P39" s="3">
        <f t="shared" si="1"/>
        <v>0</v>
      </c>
    </row>
    <row r="40" spans="2:16" ht="12.75">
      <c r="B40" t="s">
        <v>235</v>
      </c>
      <c r="C40" s="19">
        <v>26</v>
      </c>
      <c r="D40" s="19">
        <v>2039</v>
      </c>
      <c r="F40" s="31">
        <f t="shared" si="0"/>
        <v>0.0835097808597975</v>
      </c>
      <c r="H40" s="30"/>
      <c r="I40" s="30">
        <f>$F40*'Table 6B LCOE Nuclear after-tax'!G40</f>
        <v>5.419123834902295</v>
      </c>
      <c r="J40" s="30">
        <f>$F40*'Table 6B LCOE Nuclear after-tax'!H40</f>
        <v>10.513104399737095</v>
      </c>
      <c r="K40" s="30">
        <f>$F40*'Table 6B LCOE Nuclear after-tax'!I40</f>
        <v>8.646639033024664</v>
      </c>
      <c r="L40" s="30">
        <f>$F40*'Table 6B LCOE Nuclear after-tax'!J40</f>
        <v>24.57886726766405</v>
      </c>
      <c r="M40" s="20"/>
      <c r="P40" s="3">
        <f t="shared" si="1"/>
        <v>0</v>
      </c>
    </row>
    <row r="41" spans="2:16" ht="12.75">
      <c r="B41" t="s">
        <v>236</v>
      </c>
      <c r="C41" s="19">
        <v>27</v>
      </c>
      <c r="D41" s="19">
        <v>2040</v>
      </c>
      <c r="F41" s="31">
        <f t="shared" si="0"/>
        <v>0.07590418183948146</v>
      </c>
      <c r="H41" s="30"/>
      <c r="I41" s="30">
        <f>$F41*'Table 6B LCOE Nuclear after-tax'!G41</f>
        <v>5.073348073031598</v>
      </c>
      <c r="J41" s="30">
        <f>$F41*'Table 6B LCOE Nuclear after-tax'!H41</f>
        <v>9.940722147833576</v>
      </c>
      <c r="K41" s="30">
        <f>$F41*'Table 6B LCOE Nuclear after-tax'!I41</f>
        <v>8.122876938170462</v>
      </c>
      <c r="L41" s="30">
        <f>$F41*'Table 6B LCOE Nuclear after-tax'!J41</f>
        <v>23.136947159035635</v>
      </c>
      <c r="M41" s="20"/>
      <c r="P41" s="3">
        <f t="shared" si="1"/>
        <v>0</v>
      </c>
    </row>
    <row r="42" spans="2:16" ht="12.75">
      <c r="B42" t="s">
        <v>237</v>
      </c>
      <c r="C42" s="19">
        <v>28</v>
      </c>
      <c r="D42" s="19">
        <v>2041</v>
      </c>
      <c r="F42" s="31">
        <f t="shared" si="0"/>
        <v>0.0689912578072</v>
      </c>
      <c r="H42" s="30"/>
      <c r="I42" s="30">
        <f>$F42*'Table 6B LCOE Nuclear after-tax'!G42</f>
        <v>4.7496350801877325</v>
      </c>
      <c r="J42" s="30">
        <f>$F42*'Table 6B LCOE Nuclear after-tax'!H42</f>
        <v>9.39950304525656</v>
      </c>
      <c r="K42" s="30">
        <f>$F42*'Table 6B LCOE Nuclear after-tax'!I42</f>
        <v>7.631223237091562</v>
      </c>
      <c r="L42" s="30">
        <f>$F42*'Table 6B LCOE Nuclear after-tax'!J42</f>
        <v>21.780361362535853</v>
      </c>
      <c r="M42" s="20"/>
      <c r="P42" s="3">
        <f t="shared" si="1"/>
        <v>0</v>
      </c>
    </row>
    <row r="43" spans="2:16" ht="12.75">
      <c r="B43" t="s">
        <v>238</v>
      </c>
      <c r="C43" s="19">
        <v>29</v>
      </c>
      <c r="D43" s="19">
        <v>2042</v>
      </c>
      <c r="F43" s="31">
        <f t="shared" si="0"/>
        <v>0.0627079238385748</v>
      </c>
      <c r="H43" s="30"/>
      <c r="I43" s="30">
        <f>$F43*'Table 6B LCOE Nuclear after-tax'!G43</f>
        <v>4.446577106520056</v>
      </c>
      <c r="J43" s="30">
        <f>$F43*'Table 6B LCOE Nuclear after-tax'!H43</f>
        <v>8.887750425359389</v>
      </c>
      <c r="K43" s="30">
        <f>$F43*'Table 6B LCOE Nuclear after-tax'!I43</f>
        <v>7.169675618389674</v>
      </c>
      <c r="L43" s="30">
        <f>$F43*'Table 6B LCOE Nuclear after-tax'!J43</f>
        <v>20.50400315026912</v>
      </c>
      <c r="M43" s="20"/>
      <c r="P43" s="3">
        <f t="shared" si="1"/>
        <v>0</v>
      </c>
    </row>
    <row r="44" spans="2:16" ht="12.75">
      <c r="B44" t="s">
        <v>239</v>
      </c>
      <c r="C44" s="19">
        <v>30</v>
      </c>
      <c r="D44" s="19">
        <v>2043</v>
      </c>
      <c r="F44" s="31">
        <f t="shared" si="0"/>
        <v>0.0569968404277175</v>
      </c>
      <c r="H44" s="30"/>
      <c r="I44" s="30">
        <f>$F44*'Table 6B LCOE Nuclear after-tax'!G44</f>
        <v>4.162856225882255</v>
      </c>
      <c r="J44" s="30">
        <f>$F44*'Table 6B LCOE Nuclear after-tax'!H44</f>
        <v>8.403859995911079</v>
      </c>
      <c r="K44" s="30">
        <f>$F44*'Table 6B LCOE Nuclear after-tax'!I44</f>
        <v>6.736359619625555</v>
      </c>
      <c r="L44" s="30">
        <f>$F44*'Table 6B LCOE Nuclear after-tax'!J44</f>
        <v>19.303075841418888</v>
      </c>
      <c r="M44" s="20"/>
      <c r="P44" s="3">
        <f t="shared" si="1"/>
        <v>0</v>
      </c>
    </row>
    <row r="45" spans="2:16" ht="12.75">
      <c r="B45" t="s">
        <v>240</v>
      </c>
      <c r="C45" s="19">
        <v>31</v>
      </c>
      <c r="D45" s="19">
        <v>2044</v>
      </c>
      <c r="F45" s="31">
        <f t="shared" si="0"/>
        <v>0.05180589022697465</v>
      </c>
      <c r="H45" s="30"/>
      <c r="I45" s="30">
        <f>$F45*'Table 6B LCOE Nuclear after-tax'!G45</f>
        <v>3.897238604488931</v>
      </c>
      <c r="J45" s="30">
        <f>$F45*'Table 6B LCOE Nuclear after-tax'!H45</f>
        <v>7.946314809803941</v>
      </c>
      <c r="K45" s="30">
        <f>$F45*'Table 6B LCOE Nuclear after-tax'!I45</f>
        <v>6.329520206510147</v>
      </c>
      <c r="L45" s="30">
        <f>$F45*'Table 6B LCOE Nuclear after-tax'!J45</f>
        <v>18.17307362080302</v>
      </c>
      <c r="M45" s="20"/>
      <c r="P45" s="3">
        <f t="shared" si="1"/>
        <v>0</v>
      </c>
    </row>
    <row r="46" spans="2:16" ht="12.75">
      <c r="B46" t="s">
        <v>241</v>
      </c>
      <c r="C46" s="19">
        <v>32</v>
      </c>
      <c r="D46" s="19">
        <v>2045</v>
      </c>
      <c r="F46" s="31">
        <f t="shared" si="0"/>
        <v>0.04708770244226017</v>
      </c>
      <c r="H46" s="30"/>
      <c r="I46" s="30">
        <f>$F46*'Table 6B LCOE Nuclear after-tax'!G46</f>
        <v>3.6485691352695864</v>
      </c>
      <c r="J46" s="30">
        <f>$F46*'Table 6B LCOE Nuclear after-tax'!H46</f>
        <v>7.513680509579204</v>
      </c>
      <c r="K46" s="30">
        <f>$F46*'Table 6B LCOE Nuclear after-tax'!I46</f>
        <v>5.947513928456382</v>
      </c>
      <c r="L46" s="30">
        <f>$F46*'Table 6B LCOE Nuclear after-tax'!J46</f>
        <v>17.10976357330517</v>
      </c>
      <c r="M46" s="20"/>
      <c r="P46" s="3">
        <f t="shared" si="1"/>
        <v>0</v>
      </c>
    </row>
    <row r="47" spans="2:16" ht="12.75">
      <c r="B47" t="s">
        <v>242</v>
      </c>
      <c r="C47" s="19">
        <v>33</v>
      </c>
      <c r="D47" s="19">
        <v>2046</v>
      </c>
      <c r="F47" s="31">
        <f t="shared" si="0"/>
        <v>0.04279922054377401</v>
      </c>
      <c r="H47" s="30"/>
      <c r="I47" s="30">
        <f>$F47*'Table 6B LCOE Nuclear after-tax'!G47</f>
        <v>3.4157664145861424</v>
      </c>
      <c r="J47" s="30">
        <f>$F47*'Table 6B LCOE Nuclear after-tax'!H47</f>
        <v>7.104600830862794</v>
      </c>
      <c r="K47" s="30">
        <f>$F47*'Table 6B LCOE Nuclear after-tax'!I47</f>
        <v>5.58880160926693</v>
      </c>
      <c r="L47" s="30">
        <f>$F47*'Table 6B LCOE Nuclear after-tax'!J47</f>
        <v>16.10916885471587</v>
      </c>
      <c r="M47" s="20"/>
      <c r="P47" s="3">
        <f t="shared" si="1"/>
        <v>0</v>
      </c>
    </row>
    <row r="48" spans="2:16" ht="12.75">
      <c r="B48" t="s">
        <v>243</v>
      </c>
      <c r="C48" s="19">
        <v>34</v>
      </c>
      <c r="D48" s="19">
        <v>2047</v>
      </c>
      <c r="F48" s="31">
        <f t="shared" si="0"/>
        <v>0.038901309347185976</v>
      </c>
      <c r="H48" s="30"/>
      <c r="I48" s="30">
        <f>$F48*'Table 6B LCOE Nuclear after-tax'!G48</f>
        <v>3.197818039468938</v>
      </c>
      <c r="J48" s="30">
        <f>$F48*'Table 6B LCOE Nuclear after-tax'!H48</f>
        <v>6.717793350614945</v>
      </c>
      <c r="K48" s="30">
        <f>$F48*'Table 6B LCOE Nuclear after-tax'!I48</f>
        <v>5.251941534821459</v>
      </c>
      <c r="L48" s="30">
        <f>$F48*'Table 6B LCOE Nuclear after-tax'!J48</f>
        <v>15.167552924905342</v>
      </c>
      <c r="M48" s="20"/>
      <c r="P48" s="3">
        <f t="shared" si="1"/>
        <v>0</v>
      </c>
    </row>
    <row r="49" spans="2:16" ht="12.75">
      <c r="B49" t="s">
        <v>244</v>
      </c>
      <c r="C49" s="19">
        <v>35</v>
      </c>
      <c r="D49" s="19">
        <v>2048</v>
      </c>
      <c r="F49" s="31">
        <f t="shared" si="0"/>
        <v>0.035358397879645495</v>
      </c>
      <c r="H49" s="30"/>
      <c r="I49" s="30">
        <f>$F49*'Table 6B LCOE Nuclear after-tax'!G49</f>
        <v>2.993776204920021</v>
      </c>
      <c r="J49" s="30">
        <f>$F49*'Table 6B LCOE Nuclear after-tax'!H49</f>
        <v>6.352045466864866</v>
      </c>
      <c r="K49" s="30">
        <f>$F49*'Table 6B LCOE Nuclear after-tax'!I49</f>
        <v>4.93558310247349</v>
      </c>
      <c r="L49" s="30">
        <f>$F49*'Table 6B LCOE Nuclear after-tax'!J49</f>
        <v>14.281404774258379</v>
      </c>
      <c r="M49" s="20"/>
      <c r="P49" s="3">
        <f t="shared" si="1"/>
        <v>0</v>
      </c>
    </row>
    <row r="50" spans="2:16" ht="12.75">
      <c r="B50" t="s">
        <v>245</v>
      </c>
      <c r="C50" s="19">
        <v>36</v>
      </c>
      <c r="D50" s="19">
        <v>2049</v>
      </c>
      <c r="F50" s="31">
        <f t="shared" si="0"/>
        <v>0.03213815477153744</v>
      </c>
      <c r="H50" s="30"/>
      <c r="I50" s="30">
        <f>$F50*'Table 6B LCOE Nuclear after-tax'!G50</f>
        <v>2.802753582137449</v>
      </c>
      <c r="J50" s="30">
        <f>$F50*'Table 6B LCOE Nuclear after-tax'!H50</f>
        <v>6.006210597327323</v>
      </c>
      <c r="K50" s="30">
        <f>$F50*'Table 6B LCOE Nuclear after-tax'!I50</f>
        <v>4.638460899491216</v>
      </c>
      <c r="L50" s="30">
        <f>$F50*'Table 6B LCOE Nuclear after-tax'!J50</f>
        <v>13.44742507895599</v>
      </c>
      <c r="M50" s="20"/>
      <c r="P50" s="3">
        <f t="shared" si="1"/>
        <v>0</v>
      </c>
    </row>
    <row r="51" spans="2:16" ht="12.75">
      <c r="B51" t="s">
        <v>246</v>
      </c>
      <c r="C51" s="19">
        <v>37</v>
      </c>
      <c r="D51" s="19">
        <v>2050</v>
      </c>
      <c r="F51" s="31">
        <f t="shared" si="0"/>
        <v>0.029211193211722813</v>
      </c>
      <c r="H51" s="30"/>
      <c r="I51" s="30">
        <f>$F51*'Table 6B LCOE Nuclear after-tax'!G51</f>
        <v>2.6239194597360225</v>
      </c>
      <c r="J51" s="30">
        <f>$F51*'Table 6B LCOE Nuclear after-tax'!H51</f>
        <v>5.679204584984198</v>
      </c>
      <c r="K51" s="30">
        <f>$F51*'Table 6B LCOE Nuclear after-tax'!I51</f>
        <v>4.35938918029677</v>
      </c>
      <c r="L51" s="30">
        <f>$F51*'Table 6B LCOE Nuclear after-tax'!J51</f>
        <v>12.66251322501699</v>
      </c>
      <c r="M51" s="20"/>
      <c r="P51" s="3">
        <f t="shared" si="1"/>
        <v>0</v>
      </c>
    </row>
    <row r="52" spans="2:16" ht="12.75">
      <c r="B52" t="s">
        <v>247</v>
      </c>
      <c r="C52" s="19">
        <v>38</v>
      </c>
      <c r="D52" s="19">
        <v>2051</v>
      </c>
      <c r="F52" s="31">
        <f t="shared" si="0"/>
        <v>0.026550802773789135</v>
      </c>
      <c r="H52" s="30"/>
      <c r="I52" s="30">
        <f>$F52*'Table 6B LCOE Nuclear after-tax'!G52</f>
        <v>2.4564961311835147</v>
      </c>
      <c r="J52" s="30">
        <f>$F52*'Table 6B LCOE Nuclear after-tax'!H52</f>
        <v>5.370002299362896</v>
      </c>
      <c r="K52" s="30">
        <f>$F52*'Table 6B LCOE Nuclear after-tax'!I52</f>
        <v>4.097256714491031</v>
      </c>
      <c r="L52" s="30">
        <f>$F52*'Table 6B LCOE Nuclear after-tax'!J52</f>
        <v>11.92375514503744</v>
      </c>
      <c r="M52" s="20"/>
      <c r="P52" s="3">
        <f t="shared" si="1"/>
        <v>0</v>
      </c>
    </row>
    <row r="53" spans="2:16" ht="12.75">
      <c r="B53" t="s">
        <v>248</v>
      </c>
      <c r="C53" s="19">
        <v>39</v>
      </c>
      <c r="D53" s="19">
        <v>2052</v>
      </c>
      <c r="F53" s="31">
        <f t="shared" si="0"/>
        <v>0.02413270566605084</v>
      </c>
      <c r="H53" s="30"/>
      <c r="I53" s="30">
        <f>$F53*'Table 6B LCOE Nuclear after-tax'!G53</f>
        <v>2.2997555127422467</v>
      </c>
      <c r="J53" s="30">
        <f>$F53*'Table 6B LCOE Nuclear after-tax'!H53</f>
        <v>5.077634422856954</v>
      </c>
      <c r="K53" s="30">
        <f>$F53*'Table 6B LCOE Nuclear after-tax'!I53</f>
        <v>3.8510219797110827</v>
      </c>
      <c r="L53" s="30">
        <f>$F53*'Table 6B LCOE Nuclear after-tax'!J53</f>
        <v>11.228411915310282</v>
      </c>
      <c r="M53" s="20"/>
      <c r="P53" s="3">
        <f t="shared" si="1"/>
        <v>0</v>
      </c>
    </row>
    <row r="54" spans="2:16" ht="12.75">
      <c r="B54" t="s">
        <v>249</v>
      </c>
      <c r="C54" s="19">
        <v>40</v>
      </c>
      <c r="D54" s="19">
        <v>2053</v>
      </c>
      <c r="F54" s="31">
        <f t="shared" si="0"/>
        <v>0.021934835180922412</v>
      </c>
      <c r="H54" s="30"/>
      <c r="I54" s="30">
        <f>$F54*'Table 6B LCOE Nuclear after-tax'!G54</f>
        <v>39.83079557835257</v>
      </c>
      <c r="J54" s="30">
        <f>$F54*'Table 6B LCOE Nuclear after-tax'!H54</f>
        <v>4.80118441201426</v>
      </c>
      <c r="K54" s="30">
        <f>$F54*'Table 6B LCOE Nuclear after-tax'!I54</f>
        <v>3.6197086752689724</v>
      </c>
      <c r="L54" s="30">
        <f>$F54*'Table 6B LCOE Nuclear after-tax'!J54</f>
        <v>48.251688665635804</v>
      </c>
      <c r="M54" s="20"/>
      <c r="P54" s="3">
        <f t="shared" si="1"/>
        <v>0</v>
      </c>
    </row>
    <row r="55" spans="2:14" ht="12.75">
      <c r="B55" s="76"/>
      <c r="C55" s="11"/>
      <c r="D55" s="11"/>
      <c r="E55" s="12"/>
      <c r="F55" s="12"/>
      <c r="G55" s="12"/>
      <c r="H55" s="12"/>
      <c r="I55" s="12"/>
      <c r="J55" s="12"/>
      <c r="K55" s="12"/>
      <c r="L55" s="12"/>
      <c r="M55" s="37"/>
      <c r="N55" s="37"/>
    </row>
    <row r="56" spans="2:14" ht="12.75">
      <c r="B56" s="46"/>
      <c r="C56" s="38"/>
      <c r="D56" s="38"/>
      <c r="E56" s="37"/>
      <c r="F56" s="37"/>
      <c r="G56" s="37"/>
      <c r="H56" s="37"/>
      <c r="I56" s="37"/>
      <c r="J56" s="37"/>
      <c r="K56" s="37"/>
      <c r="L56" s="37"/>
      <c r="M56" s="37"/>
      <c r="N56" s="37"/>
    </row>
    <row r="57" spans="1:18" ht="12.75">
      <c r="A57"/>
      <c r="B57" t="s">
        <v>250</v>
      </c>
      <c r="C57" s="83" t="s">
        <v>350</v>
      </c>
      <c r="D57" s="38"/>
      <c r="E57" s="37"/>
      <c r="F57" s="37"/>
      <c r="G57" s="37"/>
      <c r="H57" s="84">
        <f>SUM(H9:H54)</f>
        <v>4603.091710927163</v>
      </c>
      <c r="I57" s="84">
        <f>SUM(I9:I54)</f>
        <v>447.5811264983265</v>
      </c>
      <c r="J57" s="84">
        <f>SUM(J9:J54)</f>
        <v>699.3282328945718</v>
      </c>
      <c r="K57" s="84">
        <f>SUM(K9:K54)</f>
        <v>630.5227583832913</v>
      </c>
      <c r="L57" s="84">
        <f>SUM(L9:L54)</f>
        <v>6380.523828703353</v>
      </c>
      <c r="M57" s="37"/>
      <c r="N57" s="37"/>
      <c r="R57" s="3"/>
    </row>
    <row r="58" spans="1:18" ht="12.75">
      <c r="A58"/>
      <c r="B58" t="s">
        <v>20</v>
      </c>
      <c r="C58" s="83" t="s">
        <v>118</v>
      </c>
      <c r="D58" s="38"/>
      <c r="E58" s="37"/>
      <c r="F58" s="37"/>
      <c r="G58" s="37"/>
      <c r="H58" s="85">
        <f>H57/$L57</f>
        <v>0.7214284962340782</v>
      </c>
      <c r="I58" s="85">
        <f>I57/$L57</f>
        <v>0.070148022092613</v>
      </c>
      <c r="J58" s="85">
        <f>J57/$L57</f>
        <v>0.10960357670769627</v>
      </c>
      <c r="K58" s="85">
        <f>K57/$L57</f>
        <v>0.09881990496561249</v>
      </c>
      <c r="L58" s="84"/>
      <c r="M58" s="37"/>
      <c r="N58" s="37"/>
      <c r="R58" s="1"/>
    </row>
    <row r="59" spans="1:14" ht="12.75">
      <c r="A59"/>
      <c r="B59" s="37"/>
      <c r="C59" s="95"/>
      <c r="D59" s="11"/>
      <c r="E59" s="12"/>
      <c r="F59" s="12"/>
      <c r="G59" s="12"/>
      <c r="H59" s="90"/>
      <c r="I59" s="90"/>
      <c r="J59" s="90"/>
      <c r="K59" s="90"/>
      <c r="L59" s="91"/>
      <c r="M59" s="37"/>
      <c r="N59" s="37"/>
    </row>
    <row r="60" spans="1:14" ht="12.75">
      <c r="A60"/>
      <c r="B60"/>
      <c r="C60" s="83"/>
      <c r="D60" s="38"/>
      <c r="E60" s="37"/>
      <c r="F60" s="37"/>
      <c r="G60" s="37"/>
      <c r="H60" s="84"/>
      <c r="I60" s="84"/>
      <c r="J60" s="84"/>
      <c r="K60" s="84"/>
      <c r="L60" s="84"/>
      <c r="M60" s="37"/>
      <c r="N60" s="37"/>
    </row>
    <row r="61" spans="1:14" ht="12.75">
      <c r="A61"/>
      <c r="B61" t="s">
        <v>21</v>
      </c>
      <c r="C61" s="83" t="s">
        <v>22</v>
      </c>
      <c r="D61" s="38"/>
      <c r="E61" s="37"/>
      <c r="F61" s="37"/>
      <c r="G61" s="37"/>
      <c r="H61" s="84">
        <f>H57/((1+WACCnuc)^(2013-2007))</f>
        <v>2595.4925347303574</v>
      </c>
      <c r="I61" s="84">
        <f>I57/((1+WACCnuc)^(2013-2007))</f>
        <v>252.372436932963</v>
      </c>
      <c r="J61" s="84">
        <f>J57/((1+WACCnuc)^(2013-2007))</f>
        <v>394.32219077782247</v>
      </c>
      <c r="K61" s="84">
        <f>K57/((1+WACCnuc)^(2013-2007))</f>
        <v>355.52563692714153</v>
      </c>
      <c r="L61" s="84">
        <f>L57/((1+WACCnuc)^(2013-2007))</f>
        <v>3597.712799368285</v>
      </c>
      <c r="M61" s="37"/>
      <c r="N61" s="37"/>
    </row>
    <row r="62" spans="1:14" ht="13.5" thickBot="1">
      <c r="A62"/>
      <c r="B62" s="86"/>
      <c r="C62" s="87"/>
      <c r="D62" s="75"/>
      <c r="E62" s="9"/>
      <c r="F62" s="9"/>
      <c r="G62" s="9"/>
      <c r="H62" s="88"/>
      <c r="I62" s="88"/>
      <c r="J62" s="88"/>
      <c r="K62" s="88"/>
      <c r="L62" s="89"/>
      <c r="M62" s="9"/>
      <c r="N62" s="37"/>
    </row>
    <row r="63" spans="1:12" ht="12.75">
      <c r="A63"/>
      <c r="B63" s="15"/>
      <c r="C63" s="32"/>
      <c r="H63" s="33"/>
      <c r="I63" s="33"/>
      <c r="J63" s="33"/>
      <c r="K63" s="33"/>
      <c r="L63" s="34"/>
    </row>
    <row r="64" spans="1:12" ht="12.75">
      <c r="A64"/>
      <c r="B64" s="15" t="s">
        <v>177</v>
      </c>
      <c r="H64" s="33"/>
      <c r="I64" s="33"/>
      <c r="J64" s="33"/>
      <c r="K64" s="33"/>
      <c r="L64" s="34"/>
    </row>
    <row r="65" spans="1:12" ht="12.75">
      <c r="A65"/>
      <c r="B65" s="15" t="s">
        <v>155</v>
      </c>
      <c r="C65" s="99" t="s">
        <v>453</v>
      </c>
      <c r="H65" s="33"/>
      <c r="I65" s="33"/>
      <c r="J65" s="33"/>
      <c r="K65" s="33"/>
      <c r="L65" s="34"/>
    </row>
    <row r="66" spans="1:3" ht="12.75">
      <c r="A66"/>
      <c r="B66" s="15" t="s">
        <v>156</v>
      </c>
      <c r="C66" s="99" t="s">
        <v>571</v>
      </c>
    </row>
    <row r="67" spans="1:3" ht="12.75">
      <c r="A67"/>
      <c r="B67" s="15" t="s">
        <v>157</v>
      </c>
      <c r="C67" s="99" t="s">
        <v>572</v>
      </c>
    </row>
    <row r="68" spans="1:3" ht="12.75">
      <c r="A68"/>
      <c r="B68" s="15" t="s">
        <v>158</v>
      </c>
      <c r="C68" s="99" t="s">
        <v>573</v>
      </c>
    </row>
    <row r="69" spans="1:3" ht="12.75">
      <c r="A69"/>
      <c r="B69" s="15" t="s">
        <v>159</v>
      </c>
      <c r="C69" s="99" t="s">
        <v>574</v>
      </c>
    </row>
    <row r="70" spans="1:3" ht="12.75">
      <c r="A70"/>
      <c r="B70" s="15" t="s">
        <v>210</v>
      </c>
      <c r="C70" s="99" t="s">
        <v>23</v>
      </c>
    </row>
    <row r="71" spans="1:3" ht="12.75">
      <c r="A71"/>
      <c r="B71" s="15" t="s">
        <v>250</v>
      </c>
      <c r="C71" s="99" t="s">
        <v>454</v>
      </c>
    </row>
    <row r="72" spans="1:3" ht="12.75">
      <c r="A72"/>
      <c r="B72" s="15" t="s">
        <v>455</v>
      </c>
      <c r="C72" s="99" t="s">
        <v>456</v>
      </c>
    </row>
    <row r="73" spans="1:3" ht="12.75">
      <c r="A73"/>
      <c r="B73" s="15" t="s">
        <v>21</v>
      </c>
      <c r="C73" s="99" t="s">
        <v>457</v>
      </c>
    </row>
    <row r="74" spans="1:2" ht="12.75">
      <c r="A74"/>
      <c r="B74"/>
    </row>
    <row r="75" spans="1:2" ht="12.75">
      <c r="A75"/>
      <c r="B75"/>
    </row>
  </sheetData>
  <sheetProtection/>
  <printOptions horizontalCentered="1"/>
  <pageMargins left="0.75" right="0.25" top="0.5" bottom="0.25" header="0.5" footer="0.5"/>
  <pageSetup fitToHeight="2" horizontalDpi="4000" verticalDpi="4000" orientation="portrait" scale="92" r:id="rId1"/>
  <rowBreaks count="1" manualBreakCount="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Parsons</dc:creator>
  <cp:keywords/>
  <dc:description/>
  <cp:lastModifiedBy>sganguly</cp:lastModifiedBy>
  <cp:lastPrinted>2009-03-13T18:24:59Z</cp:lastPrinted>
  <dcterms:created xsi:type="dcterms:W3CDTF">2008-11-08T12:37:41Z</dcterms:created>
  <dcterms:modified xsi:type="dcterms:W3CDTF">2009-05-19T22:05:42Z</dcterms:modified>
  <cp:category/>
  <cp:version/>
  <cp:contentType/>
  <cp:contentStatus/>
</cp:coreProperties>
</file>